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Χειμερινό 2024-25\Διαλέξεις\"/>
    </mc:Choice>
  </mc:AlternateContent>
  <xr:revisionPtr revIDLastSave="0" documentId="13_ncr:1_{65D910A0-8F07-4817-88D6-7BA14D24D7F9}" xr6:coauthVersionLast="47" xr6:coauthVersionMax="47" xr10:uidLastSave="{00000000-0000-0000-0000-000000000000}"/>
  <bookViews>
    <workbookView xWindow="-108" yWindow="-108" windowWidth="23256" windowHeight="12456" firstSheet="3" activeTab="5" xr2:uid="{51003F58-1CC0-4243-A680-B89774987FF9}"/>
  </bookViews>
  <sheets>
    <sheet name="difussion_no source" sheetId="1" r:id="rId1"/>
    <sheet name="difussion_with source" sheetId="2" r:id="rId2"/>
    <sheet name="diff_conv_u0.1_Centr" sheetId="3" r:id="rId3"/>
    <sheet name="diff_conv_u2.5_Centr" sheetId="5" r:id="rId4"/>
    <sheet name="diff_conv_u0.1_Hybrid" sheetId="6" r:id="rId5"/>
    <sheet name="diff_conv_u2.5_Hybrid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18" i="3"/>
  <c r="B50" i="3"/>
  <c r="C79" i="10" l="1"/>
  <c r="B79" i="10"/>
  <c r="B78" i="10"/>
  <c r="B77" i="10"/>
  <c r="B76" i="10"/>
  <c r="B75" i="10"/>
  <c r="B74" i="10"/>
  <c r="B73" i="10"/>
  <c r="B62" i="10"/>
  <c r="C73" i="10" s="1"/>
  <c r="D58" i="10"/>
  <c r="C58" i="10"/>
  <c r="B58" i="10"/>
  <c r="I57" i="10"/>
  <c r="C57" i="10"/>
  <c r="B57" i="10"/>
  <c r="I56" i="10"/>
  <c r="F56" i="10"/>
  <c r="B56" i="10"/>
  <c r="I55" i="10"/>
  <c r="F55" i="10"/>
  <c r="E55" i="10"/>
  <c r="F54" i="10"/>
  <c r="E54" i="10"/>
  <c r="D54" i="10"/>
  <c r="B50" i="10"/>
  <c r="B17" i="10"/>
  <c r="D47" i="10" s="1"/>
  <c r="D48" i="10" s="1"/>
  <c r="D50" i="10" s="1"/>
  <c r="I58" i="10" s="1"/>
  <c r="B16" i="10"/>
  <c r="B43" i="10" l="1"/>
  <c r="B55" i="10" s="1"/>
  <c r="D73" i="10"/>
  <c r="A63" i="10"/>
  <c r="A64" i="10" s="1"/>
  <c r="A65" i="10" s="1"/>
  <c r="A66" i="10" s="1"/>
  <c r="A67" i="10" s="1"/>
  <c r="A68" i="10" s="1"/>
  <c r="D43" i="10"/>
  <c r="C47" i="10"/>
  <c r="C48" i="10" s="1"/>
  <c r="C50" i="10" s="1"/>
  <c r="I54" i="10" s="1"/>
  <c r="B42" i="10"/>
  <c r="C56" i="10"/>
  <c r="C79" i="6"/>
  <c r="B79" i="6"/>
  <c r="B78" i="6"/>
  <c r="B77" i="6"/>
  <c r="B76" i="6"/>
  <c r="B75" i="6"/>
  <c r="B74" i="6"/>
  <c r="B73" i="6"/>
  <c r="B62" i="6"/>
  <c r="C73" i="6" s="1"/>
  <c r="D58" i="6"/>
  <c r="C58" i="6"/>
  <c r="B58" i="6"/>
  <c r="I57" i="6"/>
  <c r="C57" i="6"/>
  <c r="B57" i="6"/>
  <c r="I56" i="6"/>
  <c r="F56" i="6"/>
  <c r="B56" i="6"/>
  <c r="I55" i="6"/>
  <c r="F55" i="6"/>
  <c r="E55" i="6"/>
  <c r="F54" i="6"/>
  <c r="E54" i="6"/>
  <c r="D54" i="6"/>
  <c r="B50" i="6"/>
  <c r="B17" i="6"/>
  <c r="B43" i="6" s="1"/>
  <c r="D43" i="6" s="1"/>
  <c r="E58" i="6" s="1"/>
  <c r="B16" i="6"/>
  <c r="C79" i="5"/>
  <c r="B79" i="5"/>
  <c r="B78" i="5"/>
  <c r="B77" i="5"/>
  <c r="B76" i="5"/>
  <c r="B75" i="5"/>
  <c r="B74" i="5"/>
  <c r="B73" i="5"/>
  <c r="B62" i="5"/>
  <c r="C73" i="5" s="1"/>
  <c r="D58" i="5"/>
  <c r="C58" i="5"/>
  <c r="B58" i="5"/>
  <c r="I57" i="5"/>
  <c r="C57" i="5"/>
  <c r="B57" i="5"/>
  <c r="I56" i="5"/>
  <c r="F56" i="5"/>
  <c r="B56" i="5"/>
  <c r="I55" i="5"/>
  <c r="F55" i="5"/>
  <c r="E55" i="5"/>
  <c r="F54" i="5"/>
  <c r="E54" i="5"/>
  <c r="D54" i="5"/>
  <c r="B50" i="5"/>
  <c r="D43" i="5"/>
  <c r="E58" i="5" s="1"/>
  <c r="B17" i="5"/>
  <c r="C48" i="5" s="1"/>
  <c r="C50" i="5" s="1"/>
  <c r="I54" i="5" s="1"/>
  <c r="B16" i="5"/>
  <c r="C79" i="3"/>
  <c r="B74" i="3"/>
  <c r="B75" i="3"/>
  <c r="B76" i="3"/>
  <c r="B77" i="3"/>
  <c r="B78" i="3"/>
  <c r="B79" i="3"/>
  <c r="B73" i="3"/>
  <c r="F55" i="3"/>
  <c r="F56" i="3"/>
  <c r="F54" i="3"/>
  <c r="B56" i="3"/>
  <c r="B57" i="3"/>
  <c r="B58" i="3"/>
  <c r="B62" i="3"/>
  <c r="C73" i="3" s="1"/>
  <c r="I55" i="3"/>
  <c r="I56" i="3"/>
  <c r="I57" i="3"/>
  <c r="E54" i="3"/>
  <c r="E55" i="3"/>
  <c r="D58" i="3"/>
  <c r="D54" i="3"/>
  <c r="C57" i="3"/>
  <c r="C58" i="3"/>
  <c r="B17" i="3"/>
  <c r="B16" i="3"/>
  <c r="B42" i="3" l="1"/>
  <c r="D48" i="3"/>
  <c r="D50" i="3" s="1"/>
  <c r="I58" i="3" s="1"/>
  <c r="C48" i="3"/>
  <c r="C50" i="3" s="1"/>
  <c r="I54" i="3" s="1"/>
  <c r="D47" i="3"/>
  <c r="C47" i="3"/>
  <c r="D43" i="3"/>
  <c r="B43" i="3"/>
  <c r="B55" i="3" s="1"/>
  <c r="C42" i="3"/>
  <c r="C44" i="3" s="1"/>
  <c r="C49" i="3" s="1"/>
  <c r="B54" i="3" s="1"/>
  <c r="A63" i="3"/>
  <c r="A64" i="3" s="1"/>
  <c r="A65" i="3" s="1"/>
  <c r="A66" i="3" s="1"/>
  <c r="A67" i="3" s="1"/>
  <c r="A68" i="3" s="1"/>
  <c r="D57" i="10"/>
  <c r="D73" i="3"/>
  <c r="C47" i="6"/>
  <c r="C48" i="6" s="1"/>
  <c r="C50" i="6" s="1"/>
  <c r="I54" i="6" s="1"/>
  <c r="D47" i="6"/>
  <c r="D48" i="6" s="1"/>
  <c r="B42" i="6"/>
  <c r="C42" i="6" s="1"/>
  <c r="F57" i="10"/>
  <c r="C42" i="10"/>
  <c r="D55" i="10"/>
  <c r="B44" i="10"/>
  <c r="B49" i="10" s="1"/>
  <c r="E56" i="10"/>
  <c r="E58" i="10"/>
  <c r="D44" i="10"/>
  <c r="D49" i="10" s="1"/>
  <c r="F58" i="10" s="1"/>
  <c r="D73" i="6"/>
  <c r="D73" i="5"/>
  <c r="A63" i="6"/>
  <c r="A64" i="6" s="1"/>
  <c r="A65" i="6" s="1"/>
  <c r="A66" i="6" s="1"/>
  <c r="A67" i="6" s="1"/>
  <c r="A68" i="6" s="1"/>
  <c r="D44" i="6"/>
  <c r="B42" i="5"/>
  <c r="B43" i="5"/>
  <c r="D48" i="5"/>
  <c r="D50" i="5" s="1"/>
  <c r="I58" i="5" s="1"/>
  <c r="A63" i="5"/>
  <c r="A64" i="5" s="1"/>
  <c r="A65" i="5" s="1"/>
  <c r="A66" i="5" s="1"/>
  <c r="A67" i="5" s="1"/>
  <c r="A68" i="5" s="1"/>
  <c r="D44" i="5"/>
  <c r="C47" i="5"/>
  <c r="D47" i="5"/>
  <c r="C42" i="5"/>
  <c r="C56" i="3"/>
  <c r="D57" i="3"/>
  <c r="D55" i="3"/>
  <c r="E56" i="3"/>
  <c r="C112" i="2"/>
  <c r="C118" i="2"/>
  <c r="D102" i="2"/>
  <c r="D108" i="2"/>
  <c r="E76" i="2"/>
  <c r="F76" i="2"/>
  <c r="B77" i="2"/>
  <c r="C78" i="2"/>
  <c r="D78" i="2"/>
  <c r="E78" i="2"/>
  <c r="F79" i="2"/>
  <c r="F75" i="2"/>
  <c r="E75" i="2"/>
  <c r="B75" i="2"/>
  <c r="C69" i="2"/>
  <c r="D69" i="2"/>
  <c r="E69" i="2"/>
  <c r="F69" i="2"/>
  <c r="F70" i="2"/>
  <c r="B71" i="2"/>
  <c r="C71" i="2"/>
  <c r="F71" i="2"/>
  <c r="C72" i="2"/>
  <c r="D72" i="2"/>
  <c r="F72" i="2"/>
  <c r="F68" i="2"/>
  <c r="D68" i="2"/>
  <c r="B68" i="2"/>
  <c r="B62" i="2"/>
  <c r="D62" i="2"/>
  <c r="E62" i="2"/>
  <c r="E83" i="2" s="1"/>
  <c r="B63" i="2"/>
  <c r="E63" i="2"/>
  <c r="F63" i="2"/>
  <c r="B64" i="2"/>
  <c r="C64" i="2"/>
  <c r="C85" i="2" s="1"/>
  <c r="B65" i="2"/>
  <c r="C65" i="2"/>
  <c r="D65" i="2"/>
  <c r="E65" i="2"/>
  <c r="E61" i="2"/>
  <c r="C61" i="2"/>
  <c r="B57" i="2"/>
  <c r="B52" i="2"/>
  <c r="B53" i="2" s="1"/>
  <c r="B56" i="2"/>
  <c r="B47" i="2"/>
  <c r="B42" i="2"/>
  <c r="B44" i="2" s="1"/>
  <c r="B38" i="2"/>
  <c r="B33" i="2"/>
  <c r="B27" i="2"/>
  <c r="B76" i="2" s="1"/>
  <c r="B25" i="2"/>
  <c r="B46" i="2" s="1"/>
  <c r="B20" i="2"/>
  <c r="C106" i="2" s="1"/>
  <c r="B61" i="2" l="1"/>
  <c r="B82" i="2" s="1"/>
  <c r="D86" i="2"/>
  <c r="D116" i="2"/>
  <c r="B79" i="2"/>
  <c r="D77" i="2"/>
  <c r="C90" i="2"/>
  <c r="C91" i="2" s="1"/>
  <c r="C92" i="2" s="1"/>
  <c r="C93" i="2" s="1"/>
  <c r="C94" i="2" s="1"/>
  <c r="C95" i="2" s="1"/>
  <c r="C105" i="2"/>
  <c r="B48" i="2"/>
  <c r="H82" i="2" s="1"/>
  <c r="B34" i="2"/>
  <c r="B55" i="2"/>
  <c r="F65" i="2" s="1"/>
  <c r="F86" i="2" s="1"/>
  <c r="F61" i="2"/>
  <c r="F82" i="2" s="1"/>
  <c r="D64" i="2"/>
  <c r="F62" i="2"/>
  <c r="F83" i="2" s="1"/>
  <c r="E68" i="2"/>
  <c r="E82" i="2" s="1"/>
  <c r="E71" i="2"/>
  <c r="B70" i="2"/>
  <c r="B84" i="2" s="1"/>
  <c r="D75" i="2"/>
  <c r="F78" i="2"/>
  <c r="C77" i="2"/>
  <c r="C104" i="2"/>
  <c r="B113" i="2"/>
  <c r="B114" i="2" s="1"/>
  <c r="B115" i="2" s="1"/>
  <c r="B116" i="2" s="1"/>
  <c r="B117" i="2" s="1"/>
  <c r="B118" i="2" s="1"/>
  <c r="H86" i="2"/>
  <c r="C103" i="2"/>
  <c r="C54" i="3"/>
  <c r="D44" i="3"/>
  <c r="D49" i="3" s="1"/>
  <c r="F58" i="3" s="1"/>
  <c r="E58" i="3"/>
  <c r="H85" i="2"/>
  <c r="H84" i="2"/>
  <c r="C102" i="2"/>
  <c r="E79" i="2"/>
  <c r="B78" i="2"/>
  <c r="B85" i="2" s="1"/>
  <c r="D76" i="2"/>
  <c r="D83" i="2" s="1"/>
  <c r="H83" i="2"/>
  <c r="C108" i="2"/>
  <c r="E70" i="2"/>
  <c r="E84" i="2" s="1"/>
  <c r="D79" i="2"/>
  <c r="F77" i="2"/>
  <c r="F84" i="2" s="1"/>
  <c r="C76" i="2"/>
  <c r="C107" i="2"/>
  <c r="D61" i="2"/>
  <c r="D82" i="2" s="1"/>
  <c r="F64" i="2"/>
  <c r="C63" i="2"/>
  <c r="C68" i="2"/>
  <c r="C82" i="2" s="1"/>
  <c r="B72" i="2"/>
  <c r="B86" i="2" s="1"/>
  <c r="D70" i="2"/>
  <c r="C75" i="2"/>
  <c r="C79" i="2"/>
  <c r="C86" i="2" s="1"/>
  <c r="E77" i="2"/>
  <c r="B44" i="3"/>
  <c r="B49" i="3" s="1"/>
  <c r="E57" i="3" s="1"/>
  <c r="F57" i="3"/>
  <c r="D56" i="10"/>
  <c r="E57" i="10"/>
  <c r="C55" i="10"/>
  <c r="C44" i="10"/>
  <c r="C49" i="10" s="1"/>
  <c r="B54" i="10" s="1"/>
  <c r="C54" i="10"/>
  <c r="D50" i="6"/>
  <c r="I58" i="6" s="1"/>
  <c r="C44" i="6"/>
  <c r="C49" i="6" s="1"/>
  <c r="B54" i="6" s="1"/>
  <c r="C54" i="6"/>
  <c r="D49" i="6"/>
  <c r="F58" i="6" s="1"/>
  <c r="D57" i="6"/>
  <c r="C56" i="6"/>
  <c r="B55" i="6"/>
  <c r="F57" i="6"/>
  <c r="D55" i="6"/>
  <c r="B44" i="6"/>
  <c r="B49" i="6" s="1"/>
  <c r="E56" i="6"/>
  <c r="C44" i="5"/>
  <c r="C49" i="5" s="1"/>
  <c r="B54" i="5" s="1"/>
  <c r="C54" i="5"/>
  <c r="D49" i="5"/>
  <c r="F58" i="5" s="1"/>
  <c r="B55" i="5"/>
  <c r="C56" i="5"/>
  <c r="D57" i="5"/>
  <c r="F57" i="5"/>
  <c r="B44" i="5"/>
  <c r="B49" i="5" s="1"/>
  <c r="D55" i="5"/>
  <c r="E56" i="5"/>
  <c r="B76" i="1"/>
  <c r="B77" i="1"/>
  <c r="B78" i="1"/>
  <c r="B79" i="1"/>
  <c r="B80" i="1"/>
  <c r="B81" i="1"/>
  <c r="D81" i="1"/>
  <c r="B82" i="1"/>
  <c r="D82" i="1"/>
  <c r="B83" i="1"/>
  <c r="B84" i="1"/>
  <c r="B85" i="1"/>
  <c r="B86" i="1"/>
  <c r="C68" i="1"/>
  <c r="C74" i="1"/>
  <c r="B68" i="1"/>
  <c r="B69" i="1"/>
  <c r="B74" i="1"/>
  <c r="C54" i="1"/>
  <c r="D77" i="1" s="1"/>
  <c r="C55" i="1"/>
  <c r="D78" i="1" s="1"/>
  <c r="C56" i="1"/>
  <c r="D79" i="1" s="1"/>
  <c r="C57" i="1"/>
  <c r="D80" i="1" s="1"/>
  <c r="C58" i="1"/>
  <c r="C59" i="1"/>
  <c r="C60" i="1"/>
  <c r="D83" i="1" s="1"/>
  <c r="C61" i="1"/>
  <c r="D84" i="1" s="1"/>
  <c r="C62" i="1"/>
  <c r="D85" i="1" s="1"/>
  <c r="C63" i="1"/>
  <c r="D86" i="1" s="1"/>
  <c r="C53" i="1"/>
  <c r="D76" i="1" s="1"/>
  <c r="D46" i="1"/>
  <c r="D41" i="1"/>
  <c r="D42" i="1" s="1"/>
  <c r="H33" i="1"/>
  <c r="E37" i="1"/>
  <c r="D36" i="1"/>
  <c r="C33" i="1"/>
  <c r="B29" i="1"/>
  <c r="B33" i="1" s="1"/>
  <c r="C28" i="1"/>
  <c r="H34" i="1" s="1"/>
  <c r="D28" i="1"/>
  <c r="H35" i="1" s="1"/>
  <c r="E28" i="1"/>
  <c r="H36" i="1" s="1"/>
  <c r="F28" i="1"/>
  <c r="H37" i="1" s="1"/>
  <c r="B28" i="1"/>
  <c r="C27" i="1"/>
  <c r="D34" i="1" s="1"/>
  <c r="D27" i="1"/>
  <c r="E35" i="1" s="1"/>
  <c r="E27" i="1"/>
  <c r="E29" i="1" s="1"/>
  <c r="E36" i="1" s="1"/>
  <c r="F27" i="1"/>
  <c r="F29" i="1" s="1"/>
  <c r="F37" i="1" s="1"/>
  <c r="B27" i="1"/>
  <c r="F26" i="1"/>
  <c r="E26" i="1"/>
  <c r="D26" i="1"/>
  <c r="C35" i="1" s="1"/>
  <c r="C26" i="1"/>
  <c r="B34" i="1" s="1"/>
  <c r="B26" i="1"/>
  <c r="F25" i="1"/>
  <c r="E25" i="1"/>
  <c r="D25" i="1"/>
  <c r="C25" i="1"/>
  <c r="B25" i="1"/>
  <c r="B70" i="1" l="1"/>
  <c r="D43" i="1"/>
  <c r="F36" i="1"/>
  <c r="F85" i="2"/>
  <c r="E108" i="2"/>
  <c r="D118" i="2"/>
  <c r="B35" i="2"/>
  <c r="D71" i="2"/>
  <c r="E72" i="2"/>
  <c r="E86" i="2" s="1"/>
  <c r="C70" i="2"/>
  <c r="D56" i="3"/>
  <c r="L54" i="3" s="1" a="1"/>
  <c r="N55" i="3" s="1"/>
  <c r="D117" i="2"/>
  <c r="D113" i="2"/>
  <c r="D115" i="2"/>
  <c r="D29" i="1"/>
  <c r="D35" i="1" s="1"/>
  <c r="C29" i="1"/>
  <c r="C34" i="1" s="1"/>
  <c r="O33" i="1" s="1" a="1"/>
  <c r="C55" i="3"/>
  <c r="D112" i="2"/>
  <c r="E102" i="2"/>
  <c r="B69" i="2"/>
  <c r="B83" i="2" s="1"/>
  <c r="D114" i="2"/>
  <c r="D85" i="2"/>
  <c r="C84" i="2"/>
  <c r="L54" i="10" a="1"/>
  <c r="E57" i="6"/>
  <c r="C55" i="6"/>
  <c r="D56" i="6"/>
  <c r="D56" i="5"/>
  <c r="E57" i="5"/>
  <c r="C55" i="5"/>
  <c r="P33" i="1" l="1"/>
  <c r="R33" i="1"/>
  <c r="O36" i="1"/>
  <c r="S34" i="1"/>
  <c r="P34" i="1"/>
  <c r="R36" i="1"/>
  <c r="Q34" i="1"/>
  <c r="O33" i="1"/>
  <c r="O35" i="1"/>
  <c r="S35" i="1"/>
  <c r="O34" i="1"/>
  <c r="S37" i="1"/>
  <c r="P37" i="1"/>
  <c r="R37" i="1"/>
  <c r="Q33" i="1"/>
  <c r="Q37" i="1"/>
  <c r="S33" i="1"/>
  <c r="Q35" i="1"/>
  <c r="Q36" i="1"/>
  <c r="R35" i="1"/>
  <c r="P36" i="1"/>
  <c r="S36" i="1"/>
  <c r="O37" i="1"/>
  <c r="R34" i="1"/>
  <c r="P35" i="1"/>
  <c r="D63" i="2"/>
  <c r="D84" i="2" s="1"/>
  <c r="C62" i="2"/>
  <c r="C83" i="2" s="1"/>
  <c r="L82" i="2" s="1" a="1"/>
  <c r="E64" i="2"/>
  <c r="E85" i="2" s="1"/>
  <c r="B71" i="1"/>
  <c r="D44" i="1"/>
  <c r="M57" i="3"/>
  <c r="N56" i="3"/>
  <c r="L58" i="3"/>
  <c r="P56" i="3"/>
  <c r="L56" i="3"/>
  <c r="L55" i="3"/>
  <c r="M56" i="3"/>
  <c r="O56" i="3"/>
  <c r="O55" i="3"/>
  <c r="L57" i="3"/>
  <c r="O58" i="3"/>
  <c r="O57" i="3"/>
  <c r="P58" i="3"/>
  <c r="P57" i="3"/>
  <c r="N54" i="3"/>
  <c r="N57" i="3"/>
  <c r="P54" i="3"/>
  <c r="L54" i="3"/>
  <c r="M55" i="3"/>
  <c r="N58" i="3"/>
  <c r="M58" i="3"/>
  <c r="M54" i="3"/>
  <c r="P55" i="3"/>
  <c r="O54" i="3"/>
  <c r="N57" i="10"/>
  <c r="P55" i="10"/>
  <c r="M54" i="10"/>
  <c r="P58" i="10"/>
  <c r="M57" i="10"/>
  <c r="O55" i="10"/>
  <c r="L54" i="10"/>
  <c r="O58" i="10"/>
  <c r="L57" i="10"/>
  <c r="N55" i="10"/>
  <c r="N58" i="10"/>
  <c r="P56" i="10"/>
  <c r="M55" i="10"/>
  <c r="M58" i="10"/>
  <c r="O56" i="10"/>
  <c r="L55" i="10"/>
  <c r="P57" i="10"/>
  <c r="M56" i="10"/>
  <c r="O54" i="10"/>
  <c r="L58" i="10"/>
  <c r="N56" i="10"/>
  <c r="P54" i="10"/>
  <c r="O57" i="10"/>
  <c r="L56" i="10"/>
  <c r="N54" i="10"/>
  <c r="L54" i="6" a="1"/>
  <c r="M54" i="6" s="1"/>
  <c r="L54" i="5" a="1"/>
  <c r="P55" i="5" s="1"/>
  <c r="D45" i="1" l="1"/>
  <c r="B73" i="1" s="1"/>
  <c r="B72" i="1"/>
  <c r="C41" i="1" a="1"/>
  <c r="N82" i="2"/>
  <c r="M85" i="2"/>
  <c r="L83" i="2"/>
  <c r="L84" i="2"/>
  <c r="P82" i="2"/>
  <c r="N83" i="2"/>
  <c r="O85" i="2"/>
  <c r="N86" i="2"/>
  <c r="O83" i="2"/>
  <c r="L86" i="2"/>
  <c r="P83" i="2"/>
  <c r="P86" i="2"/>
  <c r="P84" i="2"/>
  <c r="L82" i="2"/>
  <c r="N84" i="2"/>
  <c r="M83" i="2"/>
  <c r="L85" i="2"/>
  <c r="M82" i="2"/>
  <c r="M86" i="2"/>
  <c r="O82" i="2"/>
  <c r="O86" i="2"/>
  <c r="P85" i="2"/>
  <c r="N85" i="2"/>
  <c r="M84" i="2"/>
  <c r="O84" i="2"/>
  <c r="B63" i="3" a="1"/>
  <c r="B67" i="3" s="1"/>
  <c r="C78" i="3" s="1"/>
  <c r="D78" i="3" s="1"/>
  <c r="B63" i="10" a="1"/>
  <c r="L56" i="6"/>
  <c r="L57" i="6"/>
  <c r="M58" i="6"/>
  <c r="M57" i="6"/>
  <c r="P55" i="6"/>
  <c r="P54" i="6"/>
  <c r="N55" i="6"/>
  <c r="N57" i="6"/>
  <c r="N54" i="6"/>
  <c r="L55" i="6"/>
  <c r="O58" i="6"/>
  <c r="O56" i="6"/>
  <c r="O57" i="6"/>
  <c r="L54" i="6"/>
  <c r="O54" i="6"/>
  <c r="M56" i="6"/>
  <c r="O55" i="6"/>
  <c r="P57" i="6"/>
  <c r="M55" i="6"/>
  <c r="N56" i="6"/>
  <c r="P56" i="6"/>
  <c r="P58" i="6"/>
  <c r="L58" i="6"/>
  <c r="N58" i="6"/>
  <c r="O54" i="5"/>
  <c r="N56" i="5"/>
  <c r="N55" i="5"/>
  <c r="N57" i="5"/>
  <c r="M56" i="5"/>
  <c r="L58" i="5"/>
  <c r="L57" i="5"/>
  <c r="P57" i="5"/>
  <c r="L55" i="5"/>
  <c r="O58" i="5"/>
  <c r="L54" i="5"/>
  <c r="O56" i="5"/>
  <c r="O55" i="5"/>
  <c r="N54" i="5"/>
  <c r="M58" i="5"/>
  <c r="M57" i="5"/>
  <c r="L56" i="5"/>
  <c r="M55" i="5"/>
  <c r="P58" i="5"/>
  <c r="O57" i="5"/>
  <c r="P56" i="5"/>
  <c r="M54" i="5"/>
  <c r="P54" i="5"/>
  <c r="N58" i="5"/>
  <c r="C41" i="1" l="1"/>
  <c r="C69" i="1" s="1"/>
  <c r="C42" i="1"/>
  <c r="C70" i="1" s="1"/>
  <c r="C45" i="1"/>
  <c r="C73" i="1" s="1"/>
  <c r="C44" i="1"/>
  <c r="C72" i="1" s="1"/>
  <c r="C43" i="1"/>
  <c r="C71" i="1" s="1"/>
  <c r="B90" i="2" a="1"/>
  <c r="B65" i="3"/>
  <c r="C76" i="3" s="1"/>
  <c r="D76" i="3" s="1"/>
  <c r="B66" i="3"/>
  <c r="C77" i="3" s="1"/>
  <c r="D77" i="3" s="1"/>
  <c r="B64" i="3"/>
  <c r="C75" i="3" s="1"/>
  <c r="D75" i="3" s="1"/>
  <c r="B63" i="3"/>
  <c r="C74" i="3" s="1"/>
  <c r="D74" i="3" s="1"/>
  <c r="B67" i="10"/>
  <c r="C78" i="10" s="1"/>
  <c r="D78" i="10" s="1"/>
  <c r="B66" i="10"/>
  <c r="C77" i="10" s="1"/>
  <c r="D77" i="10" s="1"/>
  <c r="B65" i="10"/>
  <c r="C76" i="10" s="1"/>
  <c r="D76" i="10" s="1"/>
  <c r="B64" i="10"/>
  <c r="C75" i="10" s="1"/>
  <c r="D75" i="10" s="1"/>
  <c r="B63" i="10"/>
  <c r="C74" i="10" s="1"/>
  <c r="D74" i="10" s="1"/>
  <c r="B63" i="6" a="1"/>
  <c r="B63" i="6" s="1"/>
  <c r="C74" i="6" s="1"/>
  <c r="D74" i="6" s="1"/>
  <c r="B63" i="5" a="1"/>
  <c r="B90" i="2" l="1"/>
  <c r="B91" i="2"/>
  <c r="B94" i="2"/>
  <c r="B92" i="2"/>
  <c r="B93" i="2"/>
  <c r="B67" i="6"/>
  <c r="C78" i="6" s="1"/>
  <c r="D78" i="6" s="1"/>
  <c r="B64" i="6"/>
  <c r="C75" i="6" s="1"/>
  <c r="D75" i="6" s="1"/>
  <c r="B65" i="6"/>
  <c r="C76" i="6" s="1"/>
  <c r="D76" i="6" s="1"/>
  <c r="B66" i="6"/>
  <c r="C77" i="6" s="1"/>
  <c r="D77" i="6" s="1"/>
  <c r="B63" i="5"/>
  <c r="C74" i="5" s="1"/>
  <c r="D74" i="5" s="1"/>
  <c r="B67" i="5"/>
  <c r="C78" i="5" s="1"/>
  <c r="D78" i="5" s="1"/>
  <c r="B66" i="5"/>
  <c r="C77" i="5" s="1"/>
  <c r="D77" i="5" s="1"/>
  <c r="B65" i="5"/>
  <c r="C76" i="5" s="1"/>
  <c r="D76" i="5" s="1"/>
  <c r="B64" i="5"/>
  <c r="C75" i="5" s="1"/>
  <c r="D75" i="5" s="1"/>
  <c r="D105" i="2" l="1"/>
  <c r="E105" i="2" s="1"/>
  <c r="C115" i="2"/>
  <c r="D107" i="2"/>
  <c r="E107" i="2" s="1"/>
  <c r="C117" i="2"/>
  <c r="D104" i="2"/>
  <c r="E104" i="2" s="1"/>
  <c r="C114" i="2"/>
  <c r="D106" i="2"/>
  <c r="E106" i="2" s="1"/>
  <c r="C116" i="2"/>
  <c r="C113" i="2"/>
  <c r="D103" i="2"/>
  <c r="E103" i="2" s="1"/>
</calcChain>
</file>

<file path=xl/sharedStrings.xml><?xml version="1.0" encoding="utf-8"?>
<sst xmlns="http://schemas.openxmlformats.org/spreadsheetml/2006/main" count="293" uniqueCount="106">
  <si>
    <t>Diffusion with no source</t>
  </si>
  <si>
    <t>L (m)</t>
  </si>
  <si>
    <t>Δx (m)</t>
  </si>
  <si>
    <t>(α) Μέθοδος Α: Μέθοδος Πεπερασμένων Όγκων</t>
  </si>
  <si>
    <t>A (m2)</t>
  </si>
  <si>
    <t>Δεδομένα</t>
  </si>
  <si>
    <t>Κόμβος</t>
  </si>
  <si>
    <t>SP</t>
  </si>
  <si>
    <t>aW</t>
  </si>
  <si>
    <t>aE</t>
  </si>
  <si>
    <t>SU</t>
  </si>
  <si>
    <t>aP-SP</t>
  </si>
  <si>
    <t>Σύστημα εξισώσεων</t>
  </si>
  <si>
    <t>Πίνακας συντελεστών</t>
  </si>
  <si>
    <t>Αποτελέσματα</t>
  </si>
  <si>
    <t>Τ1</t>
  </si>
  <si>
    <t>Τ2</t>
  </si>
  <si>
    <t>Τ3</t>
  </si>
  <si>
    <t>Τ4</t>
  </si>
  <si>
    <t>Τ5</t>
  </si>
  <si>
    <t>x (m)</t>
  </si>
  <si>
    <t>Αντίστροφος Πίνακας συντελεστών</t>
  </si>
  <si>
    <t xml:space="preserve">Διάνυσμα
σταθερών </t>
  </si>
  <si>
    <t>TA</t>
  </si>
  <si>
    <t>TB</t>
  </si>
  <si>
    <t>(β) Μέθοδος Β: Αναλυτική λύση</t>
  </si>
  <si>
    <t>Τ</t>
  </si>
  <si>
    <t>x(m)</t>
  </si>
  <si>
    <t>Γραφική απεικόνιση - σύγκριση μεθόδων</t>
  </si>
  <si>
    <t>Μέθοδος Α</t>
  </si>
  <si>
    <t>Μέθοδος Β</t>
  </si>
  <si>
    <t>k (W/mC)</t>
  </si>
  <si>
    <t>TA (C)</t>
  </si>
  <si>
    <t>TB (C)</t>
  </si>
  <si>
    <t>TA (oC)</t>
  </si>
  <si>
    <t>TB (oC)</t>
  </si>
  <si>
    <t>k (W/(mC))</t>
  </si>
  <si>
    <t>q(kW/m3)</t>
  </si>
  <si>
    <t>q(W/m3)</t>
  </si>
  <si>
    <t>Πλήθος Κελιών</t>
  </si>
  <si>
    <t>Ν</t>
  </si>
  <si>
    <t>Γενική εξίσωση</t>
  </si>
  <si>
    <t>Πλήθος κόμβων</t>
  </si>
  <si>
    <t>n</t>
  </si>
  <si>
    <r>
      <t>Όπου στους ενδιάμεσους κόμβους, δηλ. i</t>
    </r>
    <r>
      <rPr>
        <sz val="11"/>
        <color theme="1"/>
        <rFont val="Calibri"/>
        <family val="2"/>
        <charset val="161"/>
      </rPr>
      <t>≠1,n</t>
    </r>
  </si>
  <si>
    <t>SP_BC</t>
  </si>
  <si>
    <t>SU_BC</t>
  </si>
  <si>
    <t>Στον κόμβο i=1</t>
  </si>
  <si>
    <t>aP</t>
  </si>
  <si>
    <t>Στον κόμβο i=n</t>
  </si>
  <si>
    <t>Τιμές συντελεστή TP</t>
  </si>
  <si>
    <t>P</t>
  </si>
  <si>
    <t>Τιμές συντελεστή TW</t>
  </si>
  <si>
    <t>Τιμές συντελεστή TE</t>
  </si>
  <si>
    <t>Λύση</t>
  </si>
  <si>
    <t>T1</t>
  </si>
  <si>
    <t>T2</t>
  </si>
  <si>
    <t>T3</t>
  </si>
  <si>
    <t>T4</t>
  </si>
  <si>
    <t>T5</t>
  </si>
  <si>
    <t>B) Μέθοδος Β: Αναλυτική λύση</t>
  </si>
  <si>
    <t>A) Μέθοδος Α: Μέθοδος πεπερασμένων όγκων ελέγχου</t>
  </si>
  <si>
    <t>Προκύπτει από την διπλή ολοκλήρωση της εξίσωσης και την αξιοποίηση των οριακών συνθηκών</t>
  </si>
  <si>
    <t>T (oC)</t>
  </si>
  <si>
    <t>Σφάλμα (%)</t>
  </si>
  <si>
    <t>Συγκριτικό γράφημα</t>
  </si>
  <si>
    <t>Τ-ΜέθοδοςΑ</t>
  </si>
  <si>
    <t>Τ-ΜέθοδοςΒ</t>
  </si>
  <si>
    <t>Διάνυσμα
 σταθερών</t>
  </si>
  <si>
    <t>φ0</t>
  </si>
  <si>
    <t>φL</t>
  </si>
  <si>
    <t>ρ (kg/m3)</t>
  </si>
  <si>
    <t>Γ (kg/(ms))</t>
  </si>
  <si>
    <t>Διέπουσα εξίσωση</t>
  </si>
  <si>
    <t>ΣΧΗΜΑ ΚΕΝΤΡΙΚΩΝ ΔΙΑΦΟΡΩΝ</t>
  </si>
  <si>
    <t>Χωρική διακριτοποίηση</t>
  </si>
  <si>
    <t>Πλήθος κελιών</t>
  </si>
  <si>
    <t>nP</t>
  </si>
  <si>
    <t>Πλήθος κεντρικών κόμβων</t>
  </si>
  <si>
    <t>Δx</t>
  </si>
  <si>
    <t>u (m/s)</t>
  </si>
  <si>
    <t>σταθερή ταχύτητα</t>
  </si>
  <si>
    <t>αΕ</t>
  </si>
  <si>
    <t>αW</t>
  </si>
  <si>
    <t>αP</t>
  </si>
  <si>
    <t>Ενδιάμεσοι 
κόμβοι</t>
  </si>
  <si>
    <t>Δυτικό όριο
(Κόμβος 1)</t>
  </si>
  <si>
    <t>Ανατολικό όριο
(Κόμβος 5)</t>
  </si>
  <si>
    <t>Συντελ.
φΡ</t>
  </si>
  <si>
    <t>α1</t>
  </si>
  <si>
    <t>α2</t>
  </si>
  <si>
    <t>α3</t>
  </si>
  <si>
    <t>α4</t>
  </si>
  <si>
    <t>α5</t>
  </si>
  <si>
    <t>Σταθερές</t>
  </si>
  <si>
    <t>φ</t>
  </si>
  <si>
    <t>Αναλυτική λύση</t>
  </si>
  <si>
    <t>φ_αναλυτική λύση</t>
  </si>
  <si>
    <t>φ_FVM_CENTRAL</t>
  </si>
  <si>
    <t>Σφάλμα(%)</t>
  </si>
  <si>
    <t>ΥΒΡΙΔΙΚΟ ΣΧΗΜΑ</t>
  </si>
  <si>
    <t>Σταθ. 
δεξί μέλος</t>
  </si>
  <si>
    <t>ΟΡΙΑΚΕΣ ΣΥΝΘΗΚΕΣ (ΚΕΝΤΡΙΚΕΣ)</t>
  </si>
  <si>
    <t>ΟΡΙΑΚΕΣ ΣΥΝΘΗΚΕΣ (ΥΒΡΙΔΙΚΟ)</t>
  </si>
  <si>
    <t>φ_FVM_HYBRID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</si>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</sst>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6" borderId="0" xfId="0" applyFont="1" applyFill="1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2" fontId="0" fillId="0" borderId="0" xfId="0" applyNumberFormat="1"/>
    <xf numFmtId="0" fontId="0" fillId="11" borderId="0" xfId="0" applyFill="1"/>
    <xf numFmtId="0" fontId="1" fillId="6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Συγκριτικό</a:t>
            </a:r>
            <a:r>
              <a:rPr lang="el-GR" baseline="0"/>
              <a:t> γράφημα μεθόδων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'difussion_no source'!$C$67</c:f>
              <c:strCache>
                <c:ptCount val="1"/>
                <c:pt idx="0">
                  <c:v>Μέθοδος Α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'difussion_no source'!$B$68:$B$86</c:f>
              <c:numCache>
                <c:formatCode>General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0.15000000000000002</c:v>
                </c:pt>
                <c:pt idx="3">
                  <c:v>0.25</c:v>
                </c:pt>
                <c:pt idx="4">
                  <c:v>0.35</c:v>
                </c:pt>
                <c:pt idx="5">
                  <c:v>0.44999999999999996</c:v>
                </c:pt>
                <c:pt idx="6">
                  <c:v>0.5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</c:v>
                </c:pt>
                <c:pt idx="13">
                  <c:v>0.25</c:v>
                </c:pt>
                <c:pt idx="14">
                  <c:v>0.3</c:v>
                </c:pt>
                <c:pt idx="15">
                  <c:v>0.35</c:v>
                </c:pt>
                <c:pt idx="16">
                  <c:v>0.4</c:v>
                </c:pt>
                <c:pt idx="17">
                  <c:v>0.45</c:v>
                </c:pt>
                <c:pt idx="18">
                  <c:v>0.5</c:v>
                </c:pt>
              </c:numCache>
            </c:numRef>
          </c:xVal>
          <c:yVal>
            <c:numRef>
              <c:f>'difussion_no source'!$C$68:$C$86</c:f>
              <c:numCache>
                <c:formatCode>General</c:formatCode>
                <c:ptCount val="19"/>
                <c:pt idx="0">
                  <c:v>100</c:v>
                </c:pt>
                <c:pt idx="1">
                  <c:v>140</c:v>
                </c:pt>
                <c:pt idx="2">
                  <c:v>219.99999999999994</c:v>
                </c:pt>
                <c:pt idx="3">
                  <c:v>300</c:v>
                </c:pt>
                <c:pt idx="4">
                  <c:v>380</c:v>
                </c:pt>
                <c:pt idx="5">
                  <c:v>459.99999999999994</c:v>
                </c:pt>
                <c:pt idx="6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FB-4B2C-8FB1-FB448CD389DB}"/>
            </c:ext>
          </c:extLst>
        </c:ser>
        <c:ser>
          <c:idx val="1"/>
          <c:order val="1"/>
          <c:tx>
            <c:strRef>
              <c:f>'difussion_no source'!$D$67</c:f>
              <c:strCache>
                <c:ptCount val="1"/>
                <c:pt idx="0">
                  <c:v>Μέθοδος Β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'difussion_no source'!$B$68:$B$86</c:f>
              <c:numCache>
                <c:formatCode>General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0.15000000000000002</c:v>
                </c:pt>
                <c:pt idx="3">
                  <c:v>0.25</c:v>
                </c:pt>
                <c:pt idx="4">
                  <c:v>0.35</c:v>
                </c:pt>
                <c:pt idx="5">
                  <c:v>0.44999999999999996</c:v>
                </c:pt>
                <c:pt idx="6">
                  <c:v>0.5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</c:v>
                </c:pt>
                <c:pt idx="13">
                  <c:v>0.25</c:v>
                </c:pt>
                <c:pt idx="14">
                  <c:v>0.3</c:v>
                </c:pt>
                <c:pt idx="15">
                  <c:v>0.35</c:v>
                </c:pt>
                <c:pt idx="16">
                  <c:v>0.4</c:v>
                </c:pt>
                <c:pt idx="17">
                  <c:v>0.45</c:v>
                </c:pt>
                <c:pt idx="18">
                  <c:v>0.5</c:v>
                </c:pt>
              </c:numCache>
            </c:numRef>
          </c:xVal>
          <c:yVal>
            <c:numRef>
              <c:f>'difussion_no source'!$D$68:$D$86</c:f>
              <c:numCache>
                <c:formatCode>General</c:formatCode>
                <c:ptCount val="19"/>
                <c:pt idx="8">
                  <c:v>100</c:v>
                </c:pt>
                <c:pt idx="9">
                  <c:v>140</c:v>
                </c:pt>
                <c:pt idx="10">
                  <c:v>180</c:v>
                </c:pt>
                <c:pt idx="11">
                  <c:v>220</c:v>
                </c:pt>
                <c:pt idx="12">
                  <c:v>260</c:v>
                </c:pt>
                <c:pt idx="13">
                  <c:v>300</c:v>
                </c:pt>
                <c:pt idx="14">
                  <c:v>340</c:v>
                </c:pt>
                <c:pt idx="15">
                  <c:v>380</c:v>
                </c:pt>
                <c:pt idx="16">
                  <c:v>420</c:v>
                </c:pt>
                <c:pt idx="17">
                  <c:v>460</c:v>
                </c:pt>
                <c:pt idx="18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FB-4B2C-8FB1-FB448CD3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267487"/>
        <c:axId val="2013821567"/>
      </c:scatterChart>
      <c:valAx>
        <c:axId val="2007267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  <a:r>
                  <a:rPr lang="en-US" baseline="0"/>
                  <a:t> (m)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821567"/>
        <c:crosses val="autoZero"/>
        <c:crossBetween val="midCat"/>
      </c:valAx>
      <c:valAx>
        <c:axId val="201382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Θερμοκρασία</a:t>
                </a:r>
                <a:r>
                  <a:rPr lang="el-GR" baseline="0"/>
                  <a:t> (</a:t>
                </a:r>
                <a:r>
                  <a:rPr lang="en-US" baseline="0"/>
                  <a:t>C</a:t>
                </a:r>
                <a:r>
                  <a:rPr lang="el-GR" baseline="0"/>
                  <a:t>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7267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Συγκριτικό γράφημα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'difussion_with source'!$C$111</c:f>
              <c:strCache>
                <c:ptCount val="1"/>
                <c:pt idx="0">
                  <c:v>Τ-ΜέθοδοςΑ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'difussion_with source'!$B$112:$B$118</c:f>
              <c:numCache>
                <c:formatCode>General</c:formatCode>
                <c:ptCount val="7"/>
                <c:pt idx="0">
                  <c:v>0</c:v>
                </c:pt>
                <c:pt idx="1">
                  <c:v>2E-3</c:v>
                </c:pt>
                <c:pt idx="2">
                  <c:v>6.0000000000000001E-3</c:v>
                </c:pt>
                <c:pt idx="3">
                  <c:v>0.01</c:v>
                </c:pt>
                <c:pt idx="4">
                  <c:v>1.4E-2</c:v>
                </c:pt>
                <c:pt idx="5">
                  <c:v>1.8000000000000002E-2</c:v>
                </c:pt>
                <c:pt idx="6">
                  <c:v>2.0000000000000004E-2</c:v>
                </c:pt>
              </c:numCache>
            </c:numRef>
          </c:xVal>
          <c:yVal>
            <c:numRef>
              <c:f>'difussion_with source'!$C$112:$C$118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218</c:v>
                </c:pt>
                <c:pt idx="3">
                  <c:v>254</c:v>
                </c:pt>
                <c:pt idx="4">
                  <c:v>258</c:v>
                </c:pt>
                <c:pt idx="5">
                  <c:v>230</c:v>
                </c:pt>
                <c:pt idx="6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F-44FA-8504-22B592D9E112}"/>
            </c:ext>
          </c:extLst>
        </c:ser>
        <c:ser>
          <c:idx val="1"/>
          <c:order val="1"/>
          <c:tx>
            <c:strRef>
              <c:f>'difussion_with source'!$D$111</c:f>
              <c:strCache>
                <c:ptCount val="1"/>
                <c:pt idx="0">
                  <c:v>Τ-ΜέθοδοςΒ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'difussion_with source'!$B$112:$B$118</c:f>
              <c:numCache>
                <c:formatCode>General</c:formatCode>
                <c:ptCount val="7"/>
                <c:pt idx="0">
                  <c:v>0</c:v>
                </c:pt>
                <c:pt idx="1">
                  <c:v>2E-3</c:v>
                </c:pt>
                <c:pt idx="2">
                  <c:v>6.0000000000000001E-3</c:v>
                </c:pt>
                <c:pt idx="3">
                  <c:v>0.01</c:v>
                </c:pt>
                <c:pt idx="4">
                  <c:v>1.4E-2</c:v>
                </c:pt>
                <c:pt idx="5">
                  <c:v>1.8000000000000002E-2</c:v>
                </c:pt>
                <c:pt idx="6">
                  <c:v>2.0000000000000004E-2</c:v>
                </c:pt>
              </c:numCache>
            </c:numRef>
          </c:xVal>
          <c:yVal>
            <c:numRef>
              <c:f>'difussion_with source'!$D$112:$D$118</c:f>
              <c:numCache>
                <c:formatCode>General</c:formatCode>
                <c:ptCount val="7"/>
                <c:pt idx="0">
                  <c:v>100</c:v>
                </c:pt>
                <c:pt idx="1">
                  <c:v>146</c:v>
                </c:pt>
                <c:pt idx="2">
                  <c:v>214</c:v>
                </c:pt>
                <c:pt idx="3">
                  <c:v>250</c:v>
                </c:pt>
                <c:pt idx="4">
                  <c:v>254</c:v>
                </c:pt>
                <c:pt idx="5">
                  <c:v>226</c:v>
                </c:pt>
                <c:pt idx="6">
                  <c:v>199.99999999999994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F-44FA-8504-22B592D9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679584"/>
        <c:axId val="440742960"/>
      </c:scatterChart>
      <c:valAx>
        <c:axId val="953679584"/>
        <c:scaling>
          <c:orientation val="minMax"/>
          <c:max val="2.0000000000000004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Μήκος </a:t>
                </a:r>
                <a:r>
                  <a:rPr lang="en-US"/>
                  <a:t>x (m)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40742960"/>
        <c:crosses val="autoZero"/>
        <c:crossBetween val="midCat"/>
      </c:valAx>
      <c:valAx>
        <c:axId val="4407429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Θερμοκρασία</a:t>
                </a:r>
                <a:r>
                  <a:rPr lang="el-GR" baseline="0"/>
                  <a:t> (ο</a:t>
                </a:r>
                <a:r>
                  <a:rPr lang="en-US" baseline="0"/>
                  <a:t>C)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5367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u=0.1m/s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diff_conv_u0.1_Centr!$B$72</c:f>
              <c:strCache>
                <c:ptCount val="1"/>
                <c:pt idx="0">
                  <c:v>φ_αναλυτική λύση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diff_conv_u0.1_Centr!$A$73:$A$79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diff_conv_u0.1_Centr!$B$73:$B$79</c:f>
              <c:numCache>
                <c:formatCode>General</c:formatCode>
                <c:ptCount val="7"/>
                <c:pt idx="0">
                  <c:v>1</c:v>
                </c:pt>
                <c:pt idx="1">
                  <c:v>0.9387929754399108</c:v>
                </c:pt>
                <c:pt idx="2">
                  <c:v>0.79639032329768833</c:v>
                </c:pt>
                <c:pt idx="3">
                  <c:v>0.62245933120185448</c:v>
                </c:pt>
                <c:pt idx="4">
                  <c:v>0.4100195377264686</c:v>
                </c:pt>
                <c:pt idx="5">
                  <c:v>0.15054498803265515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4-4F08-ACB3-2A027924FBDC}"/>
            </c:ext>
          </c:extLst>
        </c:ser>
        <c:ser>
          <c:idx val="1"/>
          <c:order val="1"/>
          <c:tx>
            <c:strRef>
              <c:f>diff_conv_u0.1_Centr!$C$72</c:f>
              <c:strCache>
                <c:ptCount val="1"/>
                <c:pt idx="0">
                  <c:v>φ_FVM_CENTRAL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diff_conv_u0.1_Centr!$A$73:$A$79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diff_conv_u0.1_Centr!$C$73:$C$79</c:f>
              <c:numCache>
                <c:formatCode>General</c:formatCode>
                <c:ptCount val="7"/>
                <c:pt idx="0">
                  <c:v>1</c:v>
                </c:pt>
                <c:pt idx="1">
                  <c:v>0.9421099586282623</c:v>
                </c:pt>
                <c:pt idx="2">
                  <c:v>0.80060096860845886</c:v>
                </c:pt>
                <c:pt idx="3">
                  <c:v>0.62764553636203246</c:v>
                </c:pt>
                <c:pt idx="4">
                  <c:v>0.41625556361639998</c:v>
                </c:pt>
                <c:pt idx="5">
                  <c:v>0.15789004137173793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4-4F08-ACB3-2A027924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12319"/>
        <c:axId val="748172767"/>
      </c:scatterChart>
      <c:valAx>
        <c:axId val="755912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48172767"/>
        <c:crosses val="autoZero"/>
        <c:crossBetween val="midCat"/>
      </c:valAx>
      <c:valAx>
        <c:axId val="74817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5591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u=2.5m/s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diff_conv_u2.5_Centr!$B$72</c:f>
              <c:strCache>
                <c:ptCount val="1"/>
                <c:pt idx="0">
                  <c:v>φ_αναλυτική λύση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diff_conv_u2.5_Centr!$A$73:$A$79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diff_conv_u2.5_Centr!$B$73:$B$79</c:f>
              <c:numCache>
                <c:formatCode>General</c:formatCode>
                <c:ptCount val="7"/>
                <c:pt idx="0">
                  <c:v>1</c:v>
                </c:pt>
                <c:pt idx="1">
                  <c:v>0.99999999984469812</c:v>
                </c:pt>
                <c:pt idx="2">
                  <c:v>0.99999997490389636</c:v>
                </c:pt>
                <c:pt idx="3">
                  <c:v>0.99999627336071584</c:v>
                </c:pt>
                <c:pt idx="4">
                  <c:v>0.99944691564373245</c:v>
                </c:pt>
                <c:pt idx="5">
                  <c:v>0.91791500138884918</c:v>
                </c:pt>
                <c:pt idx="6">
                  <c:v>7.2164496600635175E-15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9-46DC-B9C9-D81F55FA6F5F}"/>
            </c:ext>
          </c:extLst>
        </c:ser>
        <c:ser>
          <c:idx val="1"/>
          <c:order val="1"/>
          <c:tx>
            <c:strRef>
              <c:f>diff_conv_u2.5_Centr!$C$72</c:f>
              <c:strCache>
                <c:ptCount val="1"/>
                <c:pt idx="0">
                  <c:v>φ_FVM_CENTRAL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diff_conv_u2.5_Centr!$A$73:$A$79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diff_conv_u2.5_Centr!$C$73:$C$79</c:f>
              <c:numCache>
                <c:formatCode>General</c:formatCode>
                <c:ptCount val="7"/>
                <c:pt idx="0">
                  <c:v>1</c:v>
                </c:pt>
                <c:pt idx="1">
                  <c:v>1.0356304985337244</c:v>
                </c:pt>
                <c:pt idx="2">
                  <c:v>0.86935483870967745</c:v>
                </c:pt>
                <c:pt idx="3">
                  <c:v>1.2573313782991202</c:v>
                </c:pt>
                <c:pt idx="4">
                  <c:v>0.35205278592375366</c:v>
                </c:pt>
                <c:pt idx="5">
                  <c:v>2.4643695014662756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9-46DC-B9C9-D81F55FA6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12319"/>
        <c:axId val="748172767"/>
      </c:scatterChart>
      <c:valAx>
        <c:axId val="755912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48172767"/>
        <c:crosses val="autoZero"/>
        <c:crossBetween val="midCat"/>
      </c:valAx>
      <c:valAx>
        <c:axId val="74817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5591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u=0.1m/s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diff_conv_u0.1_Hybrid!$B$72</c:f>
              <c:strCache>
                <c:ptCount val="1"/>
                <c:pt idx="0">
                  <c:v>φ_αναλυτική λύση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diff_conv_u0.1_Hybrid!$A$73:$A$79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diff_conv_u0.1_Hybrid!$B$73:$B$79</c:f>
              <c:numCache>
                <c:formatCode>General</c:formatCode>
                <c:ptCount val="7"/>
                <c:pt idx="0">
                  <c:v>1</c:v>
                </c:pt>
                <c:pt idx="1">
                  <c:v>0.9387929754399108</c:v>
                </c:pt>
                <c:pt idx="2">
                  <c:v>0.79639032329768833</c:v>
                </c:pt>
                <c:pt idx="3">
                  <c:v>0.62245933120185448</c:v>
                </c:pt>
                <c:pt idx="4">
                  <c:v>0.4100195377264686</c:v>
                </c:pt>
                <c:pt idx="5">
                  <c:v>0.15054498803265515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6-45DE-BEDE-DC7B87E34FD5}"/>
            </c:ext>
          </c:extLst>
        </c:ser>
        <c:ser>
          <c:idx val="1"/>
          <c:order val="1"/>
          <c:tx>
            <c:strRef>
              <c:f>diff_conv_u0.1_Hybrid!$C$72</c:f>
              <c:strCache>
                <c:ptCount val="1"/>
                <c:pt idx="0">
                  <c:v>φ_FVM_HYBRID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diff_conv_u0.1_Hybrid!$A$73:$A$79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diff_conv_u0.1_Hybrid!$C$73:$C$79</c:f>
              <c:numCache>
                <c:formatCode>General</c:formatCode>
                <c:ptCount val="7"/>
                <c:pt idx="0">
                  <c:v>1</c:v>
                </c:pt>
                <c:pt idx="1">
                  <c:v>0.94118126944823721</c:v>
                </c:pt>
                <c:pt idx="2">
                  <c:v>0.79740215032170569</c:v>
                </c:pt>
                <c:pt idx="3">
                  <c:v>0.62167211583372295</c:v>
                </c:pt>
                <c:pt idx="4">
                  <c:v>0.40689096257063256</c:v>
                </c:pt>
                <c:pt idx="5">
                  <c:v>0.14438066413796641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26-45DE-BEDE-DC7B87E34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12319"/>
        <c:axId val="748172767"/>
      </c:scatterChart>
      <c:valAx>
        <c:axId val="755912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48172767"/>
        <c:crosses val="autoZero"/>
        <c:crossBetween val="midCat"/>
      </c:valAx>
      <c:valAx>
        <c:axId val="74817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5591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u=2.5m/s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diff_conv_u2.5_Hybrid!$B$72</c:f>
              <c:strCache>
                <c:ptCount val="1"/>
                <c:pt idx="0">
                  <c:v>φ_αναλυτική λύση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diff_conv_u2.5_Hybrid!$A$73:$A$79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diff_conv_u2.5_Hybrid!$B$73:$B$79</c:f>
              <c:numCache>
                <c:formatCode>General</c:formatCode>
                <c:ptCount val="7"/>
                <c:pt idx="0">
                  <c:v>1</c:v>
                </c:pt>
                <c:pt idx="1">
                  <c:v>0.99999999984469812</c:v>
                </c:pt>
                <c:pt idx="2">
                  <c:v>0.99999997490389636</c:v>
                </c:pt>
                <c:pt idx="3">
                  <c:v>0.99999627336071584</c:v>
                </c:pt>
                <c:pt idx="4">
                  <c:v>0.99944691564373245</c:v>
                </c:pt>
                <c:pt idx="5">
                  <c:v>0.91791500138884918</c:v>
                </c:pt>
                <c:pt idx="6">
                  <c:v>7.2164496600635175E-15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E-4402-B654-16DA141CA879}"/>
            </c:ext>
          </c:extLst>
        </c:ser>
        <c:ser>
          <c:idx val="1"/>
          <c:order val="1"/>
          <c:tx>
            <c:strRef>
              <c:f>diff_conv_u2.5_Hybrid!$C$72</c:f>
              <c:strCache>
                <c:ptCount val="1"/>
                <c:pt idx="0">
                  <c:v>φ_FVM_HYBRID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diff_conv_u2.5_Hybrid!$A$73:$A$79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diff_conv_u2.5_Hybrid!$C$73:$C$79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0.7142857142857143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E-4402-B654-16DA141C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12319"/>
        <c:axId val="748172767"/>
      </c:scatterChart>
      <c:valAx>
        <c:axId val="755912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48172767"/>
        <c:crosses val="autoZero"/>
        <c:crossBetween val="midCat"/>
      </c:valAx>
      <c:valAx>
        <c:axId val="74817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5591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chart" Target="../charts/chart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chart" Target="../charts/chart4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8</xdr:row>
      <xdr:rowOff>53340</xdr:rowOff>
    </xdr:from>
    <xdr:to>
      <xdr:col>9</xdr:col>
      <xdr:colOff>541894</xdr:colOff>
      <xdr:row>12</xdr:row>
      <xdr:rowOff>39575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967740"/>
          <a:ext cx="5974954" cy="7177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1</xdr:row>
      <xdr:rowOff>68580</xdr:rowOff>
    </xdr:from>
    <xdr:to>
      <xdr:col>5</xdr:col>
      <xdr:colOff>441816</xdr:colOff>
      <xdr:row>6</xdr:row>
      <xdr:rowOff>53340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51460"/>
          <a:ext cx="3428856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114300</xdr:rowOff>
    </xdr:from>
    <xdr:to>
      <xdr:col>4</xdr:col>
      <xdr:colOff>22860</xdr:colOff>
      <xdr:row>22</xdr:row>
      <xdr:rowOff>38100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246126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32</xdr:row>
          <xdr:rowOff>0</xdr:rowOff>
        </xdr:from>
        <xdr:to>
          <xdr:col>12</xdr:col>
          <xdr:colOff>449580</xdr:colOff>
          <xdr:row>37</xdr:row>
          <xdr:rowOff>53340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228600</xdr:colOff>
      <xdr:row>48</xdr:row>
      <xdr:rowOff>83820</xdr:rowOff>
    </xdr:from>
    <xdr:to>
      <xdr:col>2</xdr:col>
      <xdr:colOff>205740</xdr:colOff>
      <xdr:row>50</xdr:row>
      <xdr:rowOff>99060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044940"/>
          <a:ext cx="119634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60960</xdr:colOff>
      <xdr:row>65</xdr:row>
      <xdr:rowOff>53340</xdr:rowOff>
    </xdr:from>
    <xdr:to>
      <xdr:col>13</xdr:col>
      <xdr:colOff>312420</xdr:colOff>
      <xdr:row>80</xdr:row>
      <xdr:rowOff>53340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83820</xdr:rowOff>
    </xdr:from>
    <xdr:to>
      <xdr:col>2</xdr:col>
      <xdr:colOff>640080</xdr:colOff>
      <xdr:row>12</xdr:row>
      <xdr:rowOff>91284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83820"/>
          <a:ext cx="1600200" cy="2202024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327661</xdr:colOff>
      <xdr:row>22</xdr:row>
      <xdr:rowOff>45720</xdr:rowOff>
    </xdr:from>
    <xdr:to>
      <xdr:col>8</xdr:col>
      <xdr:colOff>363072</xdr:colOff>
      <xdr:row>26</xdr:row>
      <xdr:rowOff>72794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861" y="4069080"/>
          <a:ext cx="4320540" cy="758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167640</xdr:rowOff>
    </xdr:from>
    <xdr:to>
      <xdr:col>5</xdr:col>
      <xdr:colOff>142091</xdr:colOff>
      <xdr:row>30</xdr:row>
      <xdr:rowOff>30480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366522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398930</xdr:colOff>
      <xdr:row>109</xdr:row>
      <xdr:rowOff>49305</xdr:rowOff>
    </xdr:from>
    <xdr:to>
      <xdr:col>12</xdr:col>
      <xdr:colOff>94130</xdr:colOff>
      <xdr:row>124</xdr:row>
      <xdr:rowOff>103093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114301</xdr:rowOff>
    </xdr:from>
    <xdr:to>
      <xdr:col>7</xdr:col>
      <xdr:colOff>358140</xdr:colOff>
      <xdr:row>4</xdr:row>
      <xdr:rowOff>159081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114301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68580</xdr:rowOff>
    </xdr:from>
    <xdr:to>
      <xdr:col>4</xdr:col>
      <xdr:colOff>198120</xdr:colOff>
      <xdr:row>27</xdr:row>
      <xdr:rowOff>30480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"/>
          <a:ext cx="348996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18</xdr:row>
      <xdr:rowOff>30480</xdr:rowOff>
    </xdr:from>
    <xdr:to>
      <xdr:col>5</xdr:col>
      <xdr:colOff>99060</xdr:colOff>
      <xdr:row>24</xdr:row>
      <xdr:rowOff>40297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" y="3322320"/>
          <a:ext cx="3939540" cy="11070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38100</xdr:rowOff>
    </xdr:from>
    <xdr:to>
      <xdr:col>3</xdr:col>
      <xdr:colOff>662940</xdr:colOff>
      <xdr:row>36</xdr:row>
      <xdr:rowOff>15240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1620"/>
          <a:ext cx="299466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563880</xdr:colOff>
      <xdr:row>30</xdr:row>
      <xdr:rowOff>45720</xdr:rowOff>
    </xdr:from>
    <xdr:to>
      <xdr:col>10</xdr:col>
      <xdr:colOff>62446</xdr:colOff>
      <xdr:row>39</xdr:row>
      <xdr:rowOff>7620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5532120"/>
          <a:ext cx="4116286" cy="160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45720</xdr:colOff>
      <xdr:row>64</xdr:row>
      <xdr:rowOff>137160</xdr:rowOff>
    </xdr:from>
    <xdr:to>
      <xdr:col>12</xdr:col>
      <xdr:colOff>350520</xdr:colOff>
      <xdr:row>79</xdr:row>
      <xdr:rowOff>137160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114301</xdr:rowOff>
    </xdr:from>
    <xdr:to>
      <xdr:col>7</xdr:col>
      <xdr:colOff>358140</xdr:colOff>
      <xdr:row>4</xdr:row>
      <xdr:rowOff>159081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114301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68580</xdr:rowOff>
    </xdr:from>
    <xdr:to>
      <xdr:col>4</xdr:col>
      <xdr:colOff>198120</xdr:colOff>
      <xdr:row>27</xdr:row>
      <xdr:rowOff>30480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"/>
          <a:ext cx="348996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18</xdr:row>
      <xdr:rowOff>38100</xdr:rowOff>
    </xdr:from>
    <xdr:to>
      <xdr:col>5</xdr:col>
      <xdr:colOff>83820</xdr:colOff>
      <xdr:row>24</xdr:row>
      <xdr:rowOff>47917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" y="3329940"/>
          <a:ext cx="3939540" cy="11070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38100</xdr:rowOff>
    </xdr:from>
    <xdr:to>
      <xdr:col>3</xdr:col>
      <xdr:colOff>662940</xdr:colOff>
      <xdr:row>36</xdr:row>
      <xdr:rowOff>15240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1620"/>
          <a:ext cx="299466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563880</xdr:colOff>
      <xdr:row>30</xdr:row>
      <xdr:rowOff>45720</xdr:rowOff>
    </xdr:from>
    <xdr:to>
      <xdr:col>10</xdr:col>
      <xdr:colOff>62446</xdr:colOff>
      <xdr:row>39</xdr:row>
      <xdr:rowOff>7620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532120"/>
          <a:ext cx="4116286" cy="160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45720</xdr:colOff>
      <xdr:row>64</xdr:row>
      <xdr:rowOff>137160</xdr:rowOff>
    </xdr:from>
    <xdr:to>
      <xdr:col>12</xdr:col>
      <xdr:colOff>350520</xdr:colOff>
      <xdr:row>79</xdr:row>
      <xdr:rowOff>137160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114301</xdr:rowOff>
    </xdr:from>
    <xdr:to>
      <xdr:col>7</xdr:col>
      <xdr:colOff>281940</xdr:colOff>
      <xdr:row>4</xdr:row>
      <xdr:rowOff>159081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114301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68580</xdr:rowOff>
    </xdr:from>
    <xdr:to>
      <xdr:col>4</xdr:col>
      <xdr:colOff>121920</xdr:colOff>
      <xdr:row>27</xdr:row>
      <xdr:rowOff>30480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"/>
          <a:ext cx="348996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17</xdr:row>
      <xdr:rowOff>60960</xdr:rowOff>
    </xdr:from>
    <xdr:to>
      <xdr:col>5</xdr:col>
      <xdr:colOff>22860</xdr:colOff>
      <xdr:row>23</xdr:row>
      <xdr:rowOff>70777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" y="3169920"/>
          <a:ext cx="3939540" cy="1107097"/>
        </a:xfrm>
        <a:prstGeom prst="rect">
          <a:avLst/>
        </a:prstGeom>
      </xdr:spPr>
    </xdr:pic>
    <xdr:clientData/>
  </xdr:twoCellAnchor>
  <xdr:twoCellAnchor>
    <xdr:from>
      <xdr:col>5</xdr:col>
      <xdr:colOff>45720</xdr:colOff>
      <xdr:row>64</xdr:row>
      <xdr:rowOff>137160</xdr:rowOff>
    </xdr:from>
    <xdr:to>
      <xdr:col>12</xdr:col>
      <xdr:colOff>350520</xdr:colOff>
      <xdr:row>79</xdr:row>
      <xdr:rowOff>137160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29</xdr:row>
      <xdr:rowOff>30480</xdr:rowOff>
    </xdr:from>
    <xdr:to>
      <xdr:col>3</xdr:col>
      <xdr:colOff>601980</xdr:colOff>
      <xdr:row>35</xdr:row>
      <xdr:rowOff>129540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30099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83820</xdr:colOff>
      <xdr:row>30</xdr:row>
      <xdr:rowOff>68580</xdr:rowOff>
    </xdr:from>
    <xdr:to>
      <xdr:col>8</xdr:col>
      <xdr:colOff>525780</xdr:colOff>
      <xdr:row>40</xdr:row>
      <xdr:rowOff>79591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860" y="5554980"/>
          <a:ext cx="2880360" cy="183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114301</xdr:rowOff>
    </xdr:from>
    <xdr:to>
      <xdr:col>7</xdr:col>
      <xdr:colOff>281940</xdr:colOff>
      <xdr:row>4</xdr:row>
      <xdr:rowOff>159081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114301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68580</xdr:rowOff>
    </xdr:from>
    <xdr:to>
      <xdr:col>4</xdr:col>
      <xdr:colOff>121920</xdr:colOff>
      <xdr:row>27</xdr:row>
      <xdr:rowOff>30480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"/>
          <a:ext cx="348996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17</xdr:row>
      <xdr:rowOff>60960</xdr:rowOff>
    </xdr:from>
    <xdr:to>
      <xdr:col>5</xdr:col>
      <xdr:colOff>22860</xdr:colOff>
      <xdr:row>23</xdr:row>
      <xdr:rowOff>70777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" y="3169920"/>
          <a:ext cx="3939540" cy="1107097"/>
        </a:xfrm>
        <a:prstGeom prst="rect">
          <a:avLst/>
        </a:prstGeom>
      </xdr:spPr>
    </xdr:pic>
    <xdr:clientData/>
  </xdr:twoCellAnchor>
  <xdr:twoCellAnchor>
    <xdr:from>
      <xdr:col>5</xdr:col>
      <xdr:colOff>45720</xdr:colOff>
      <xdr:row>64</xdr:row>
      <xdr:rowOff>137160</xdr:rowOff>
    </xdr:from>
    <xdr:to>
      <xdr:col>12</xdr:col>
      <xdr:colOff>350520</xdr:colOff>
      <xdr:row>79</xdr:row>
      <xdr:rowOff>137160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29</xdr:row>
      <xdr:rowOff>30480</xdr:rowOff>
    </xdr:from>
    <xdr:to>
      <xdr:col>3</xdr:col>
      <xdr:colOff>601980</xdr:colOff>
      <xdr:row>35</xdr:row>
      <xdr:rowOff>129540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30099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30</xdr:row>
      <xdr:rowOff>45720</xdr:rowOff>
    </xdr:from>
    <xdr:to>
      <xdr:col>8</xdr:col>
      <xdr:colOff>464820</xdr:colOff>
      <xdr:row>40</xdr:row>
      <xdr:rowOff>56731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532120"/>
          <a:ext cx="2880360" cy="183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3E85-E1E4-4DCC-BCD9-D6F07A20D8A3}">
  <dimension ref="A1:S86"/>
  <sheetViews>
    <sheetView topLeftCell="A63" workbookViewId="0">
      <selection activeCell="F47" sqref="F47"/>
    </sheetView>
  </sheetViews>
  <sheetFormatPr defaultRowHeight="14.4" x14ac:dyDescent="0.3"/>
  <cols>
    <col min="8" max="8" width="9.6640625" customWidth="1"/>
  </cols>
  <sheetData>
    <row r="1" spans="1:2" x14ac:dyDescent="0.3">
      <c r="A1" s="1" t="s">
        <v>0</v>
      </c>
    </row>
    <row r="8" spans="1:2" x14ac:dyDescent="0.3">
      <c r="A8" s="1" t="s">
        <v>3</v>
      </c>
    </row>
    <row r="14" spans="1:2" x14ac:dyDescent="0.3">
      <c r="A14" s="1" t="s">
        <v>5</v>
      </c>
    </row>
    <row r="15" spans="1:2" x14ac:dyDescent="0.3">
      <c r="A15" t="s">
        <v>1</v>
      </c>
      <c r="B15">
        <v>0.5</v>
      </c>
    </row>
    <row r="16" spans="1:2" x14ac:dyDescent="0.3">
      <c r="A16" t="s">
        <v>2</v>
      </c>
      <c r="B16">
        <v>0.1</v>
      </c>
    </row>
    <row r="17" spans="1:19" x14ac:dyDescent="0.3">
      <c r="A17" t="s">
        <v>32</v>
      </c>
      <c r="B17">
        <v>100</v>
      </c>
    </row>
    <row r="18" spans="1:19" x14ac:dyDescent="0.3">
      <c r="A18" t="s">
        <v>33</v>
      </c>
      <c r="B18">
        <v>500</v>
      </c>
    </row>
    <row r="19" spans="1:19" x14ac:dyDescent="0.3">
      <c r="A19" t="s">
        <v>31</v>
      </c>
      <c r="B19">
        <v>1000</v>
      </c>
    </row>
    <row r="20" spans="1:19" x14ac:dyDescent="0.3">
      <c r="A20" t="s">
        <v>4</v>
      </c>
      <c r="B20">
        <v>0.01</v>
      </c>
    </row>
    <row r="24" spans="1:19" x14ac:dyDescent="0.3">
      <c r="A24" t="s">
        <v>6</v>
      </c>
      <c r="B24">
        <v>1</v>
      </c>
      <c r="C24">
        <v>2</v>
      </c>
      <c r="D24">
        <v>3</v>
      </c>
      <c r="E24">
        <v>4</v>
      </c>
      <c r="F24">
        <v>5</v>
      </c>
    </row>
    <row r="25" spans="1:19" x14ac:dyDescent="0.3">
      <c r="A25" t="s">
        <v>7</v>
      </c>
      <c r="B25">
        <f>IF($B$24=1,-2*$B$19*$B$20/$B$16,IF($B$24=5,-2*$B$19*$B$20/$B$16,0))</f>
        <v>-200</v>
      </c>
      <c r="C25">
        <f>IF($C$24=1,-2*$B$19*$B$20/$B$16,IF($C$24=5,-2*$B$19*$B$20/$B$16,0))</f>
        <v>0</v>
      </c>
      <c r="D25">
        <f>IF($D$24=1,-2*$B$19*$B$20/$B$16,IF($D$24=5,-2*$B$19*$B$20/$B$16,0))</f>
        <v>0</v>
      </c>
      <c r="E25">
        <f>IF($E$24=1,-2*$B$19*$B$20/$B$16,IF($E$24=5,-2*$B$19*$B$20/$B$16,0))</f>
        <v>0</v>
      </c>
      <c r="F25">
        <f>IF($F$24=1,-2*$B$19*$B$20/$B$16,IF($F$24=5,-2*$B$19*$B$20/$B$16,0))</f>
        <v>-200</v>
      </c>
    </row>
    <row r="26" spans="1:19" x14ac:dyDescent="0.3">
      <c r="A26" t="s">
        <v>8</v>
      </c>
      <c r="B26">
        <f>IF($B$24=1,0,IF($B$24=5,$B$19*$B$20/$B$16,$B$19*$B$20/$B$16))</f>
        <v>0</v>
      </c>
      <c r="C26">
        <f>IF($C$24=1,0,IF($C$24=5,$B$19*$B$20/$B$16,$B$19*$B$20/$B$16))</f>
        <v>100</v>
      </c>
      <c r="D26">
        <f>IF($D$24=1,0,IF($D$24=5,$B$19*$B$20/$B$16,$B$19*$B$20/$B$16))</f>
        <v>100</v>
      </c>
      <c r="E26">
        <f>IF($E$24=1,0,IF($E$24=5,$B$19*$B$20/$B$16,$B$19*$B$20/$B$16))</f>
        <v>100</v>
      </c>
      <c r="F26">
        <f>IF($F$24=1,0,IF($F$24=5,$B$19*$B$20/$B$16,$B$19*$B$20/$B$16))</f>
        <v>100</v>
      </c>
    </row>
    <row r="27" spans="1:19" x14ac:dyDescent="0.3">
      <c r="A27" t="s">
        <v>9</v>
      </c>
      <c r="B27">
        <f>IF(B24=1,$B$19*$B$20/$B$16,IF(B24=5,0,$B$19*$B$20/$B$16))</f>
        <v>100</v>
      </c>
      <c r="C27">
        <f t="shared" ref="C27:F27" si="0">IF(C24=1,$B$19*$B$20/$B$16,IF(C24=5,0,$B$19*$B$20/$B$16))</f>
        <v>100</v>
      </c>
      <c r="D27">
        <f t="shared" si="0"/>
        <v>100</v>
      </c>
      <c r="E27">
        <f t="shared" si="0"/>
        <v>100</v>
      </c>
      <c r="F27">
        <f t="shared" si="0"/>
        <v>0</v>
      </c>
    </row>
    <row r="28" spans="1:19" x14ac:dyDescent="0.3">
      <c r="A28" t="s">
        <v>10</v>
      </c>
      <c r="B28">
        <f>IF(B24=1,2*$B$19*$B$20*$B$17/$B$16,IF(B24=5,2*$B$19*$B$20*$B$18/$B$16,0))</f>
        <v>20000</v>
      </c>
      <c r="C28">
        <f t="shared" ref="C28:F28" si="1">IF(C24=1,2*$B$19*$B$20*$B$17/$B$16,IF(C24=5,2*$B$19*$B$20*$B$18/$B$16,0))</f>
        <v>0</v>
      </c>
      <c r="D28">
        <f t="shared" si="1"/>
        <v>0</v>
      </c>
      <c r="E28">
        <f t="shared" si="1"/>
        <v>0</v>
      </c>
      <c r="F28">
        <f t="shared" si="1"/>
        <v>100000</v>
      </c>
    </row>
    <row r="29" spans="1:19" x14ac:dyDescent="0.3">
      <c r="A29" t="s">
        <v>11</v>
      </c>
      <c r="B29">
        <f>B26+B27-B25</f>
        <v>300</v>
      </c>
      <c r="C29">
        <f t="shared" ref="C29:F29" si="2">C26+C27-C25</f>
        <v>200</v>
      </c>
      <c r="D29">
        <f t="shared" si="2"/>
        <v>200</v>
      </c>
      <c r="E29">
        <f t="shared" si="2"/>
        <v>200</v>
      </c>
      <c r="F29">
        <f t="shared" si="2"/>
        <v>300</v>
      </c>
    </row>
    <row r="31" spans="1:19" x14ac:dyDescent="0.3">
      <c r="A31" t="s">
        <v>12</v>
      </c>
    </row>
    <row r="32" spans="1:19" ht="28.8" x14ac:dyDescent="0.3">
      <c r="B32" s="24" t="s">
        <v>13</v>
      </c>
      <c r="C32" s="24"/>
      <c r="D32" s="24"/>
      <c r="E32" s="24"/>
      <c r="F32" s="24"/>
      <c r="H32" s="4" t="s">
        <v>22</v>
      </c>
      <c r="O32" s="25" t="s">
        <v>21</v>
      </c>
      <c r="P32" s="25"/>
      <c r="Q32" s="25"/>
      <c r="R32" s="25"/>
      <c r="S32" s="25"/>
    </row>
    <row r="33" spans="1:19" x14ac:dyDescent="0.3">
      <c r="A33">
        <v>1</v>
      </c>
      <c r="B33" s="2">
        <f>B29</f>
        <v>300</v>
      </c>
      <c r="C33" s="2">
        <f>-B27</f>
        <v>-100</v>
      </c>
      <c r="D33" s="2">
        <v>0</v>
      </c>
      <c r="E33" s="2">
        <v>0</v>
      </c>
      <c r="F33" s="2">
        <v>0</v>
      </c>
      <c r="H33" s="3">
        <f>B28</f>
        <v>20000</v>
      </c>
      <c r="N33">
        <v>1</v>
      </c>
      <c r="O33" s="5">
        <f t="array" ref="O33:S37">MINVERSE(B33:F37)</f>
        <v>4.4999999999999997E-3</v>
      </c>
      <c r="P33" s="5">
        <v>3.4999999999999992E-3</v>
      </c>
      <c r="Q33" s="5">
        <v>2.5000000000000005E-3</v>
      </c>
      <c r="R33" s="5">
        <v>1.5000000000000002E-3</v>
      </c>
      <c r="S33" s="5">
        <v>5.0000000000000001E-4</v>
      </c>
    </row>
    <row r="34" spans="1:19" x14ac:dyDescent="0.3">
      <c r="A34">
        <v>2</v>
      </c>
      <c r="B34" s="2">
        <f>-C26</f>
        <v>-100</v>
      </c>
      <c r="C34" s="2">
        <f>C29</f>
        <v>200</v>
      </c>
      <c r="D34" s="2">
        <f>-C27</f>
        <v>-100</v>
      </c>
      <c r="E34" s="2">
        <v>0</v>
      </c>
      <c r="F34" s="2">
        <v>0</v>
      </c>
      <c r="H34" s="3">
        <f>C28</f>
        <v>0</v>
      </c>
      <c r="N34">
        <v>2</v>
      </c>
      <c r="O34" s="5">
        <v>3.4999999999999992E-3</v>
      </c>
      <c r="P34" s="5">
        <v>1.0499999999999999E-2</v>
      </c>
      <c r="Q34" s="5">
        <v>7.5000000000000006E-3</v>
      </c>
      <c r="R34" s="5">
        <v>4.5000000000000005E-3</v>
      </c>
      <c r="S34" s="5">
        <v>1.4999999999999998E-3</v>
      </c>
    </row>
    <row r="35" spans="1:19" x14ac:dyDescent="0.3">
      <c r="A35">
        <v>3</v>
      </c>
      <c r="B35" s="2">
        <v>0</v>
      </c>
      <c r="C35" s="2">
        <f>-D26</f>
        <v>-100</v>
      </c>
      <c r="D35" s="2">
        <f>D29</f>
        <v>200</v>
      </c>
      <c r="E35" s="2">
        <f>-D27</f>
        <v>-100</v>
      </c>
      <c r="F35" s="2">
        <v>0</v>
      </c>
      <c r="H35" s="3">
        <f>D28</f>
        <v>0</v>
      </c>
      <c r="N35">
        <v>3</v>
      </c>
      <c r="O35" s="5">
        <v>2.5000000000000001E-3</v>
      </c>
      <c r="P35" s="5">
        <v>7.5000000000000006E-3</v>
      </c>
      <c r="Q35" s="5">
        <v>1.2500000000000002E-2</v>
      </c>
      <c r="R35" s="5">
        <v>7.5000000000000023E-3</v>
      </c>
      <c r="S35" s="5">
        <v>2.5000000000000001E-3</v>
      </c>
    </row>
    <row r="36" spans="1:19" x14ac:dyDescent="0.3">
      <c r="A36">
        <v>4</v>
      </c>
      <c r="B36" s="2">
        <v>0</v>
      </c>
      <c r="C36" s="2">
        <v>0</v>
      </c>
      <c r="D36" s="2">
        <f>-E26</f>
        <v>-100</v>
      </c>
      <c r="E36" s="2">
        <f>E29</f>
        <v>200</v>
      </c>
      <c r="F36" s="2">
        <f>-E27</f>
        <v>-100</v>
      </c>
      <c r="H36" s="3">
        <f>E28</f>
        <v>0</v>
      </c>
      <c r="N36">
        <v>4</v>
      </c>
      <c r="O36" s="5">
        <v>1.5E-3</v>
      </c>
      <c r="P36" s="5">
        <v>4.5000000000000005E-3</v>
      </c>
      <c r="Q36" s="5">
        <v>7.5000000000000023E-3</v>
      </c>
      <c r="R36" s="5">
        <v>1.0500000000000002E-2</v>
      </c>
      <c r="S36" s="5">
        <v>3.5000000000000001E-3</v>
      </c>
    </row>
    <row r="37" spans="1:19" x14ac:dyDescent="0.3">
      <c r="A37">
        <v>5</v>
      </c>
      <c r="B37" s="2">
        <v>0</v>
      </c>
      <c r="C37" s="2">
        <v>0</v>
      </c>
      <c r="D37" s="2">
        <v>0</v>
      </c>
      <c r="E37" s="2">
        <f>-F26</f>
        <v>-100</v>
      </c>
      <c r="F37" s="2">
        <f>F29</f>
        <v>300</v>
      </c>
      <c r="H37" s="3">
        <f>F28</f>
        <v>100000</v>
      </c>
      <c r="N37">
        <v>5</v>
      </c>
      <c r="O37" s="5">
        <v>5.0000000000000001E-4</v>
      </c>
      <c r="P37" s="5">
        <v>1.5E-3</v>
      </c>
      <c r="Q37" s="5">
        <v>2.5000000000000005E-3</v>
      </c>
      <c r="R37" s="5">
        <v>3.5000000000000005E-3</v>
      </c>
      <c r="S37" s="5">
        <v>4.4999999999999997E-3</v>
      </c>
    </row>
    <row r="38" spans="1:19" x14ac:dyDescent="0.3">
      <c r="B38" s="6" t="s">
        <v>14</v>
      </c>
      <c r="C38" s="6"/>
      <c r="D38" s="6"/>
    </row>
    <row r="39" spans="1:19" x14ac:dyDescent="0.3">
      <c r="B39" s="6"/>
      <c r="C39" s="6"/>
      <c r="D39" s="6" t="s">
        <v>20</v>
      </c>
    </row>
    <row r="40" spans="1:19" x14ac:dyDescent="0.3">
      <c r="B40" s="6" t="s">
        <v>23</v>
      </c>
      <c r="C40" s="6">
        <v>100</v>
      </c>
      <c r="D40" s="6">
        <v>0</v>
      </c>
    </row>
    <row r="41" spans="1:19" x14ac:dyDescent="0.3">
      <c r="A41">
        <v>1</v>
      </c>
      <c r="B41" s="6" t="s">
        <v>15</v>
      </c>
      <c r="C41" s="6">
        <f t="array" ref="C41:C45">MMULT(O33:S37,H33:H37)</f>
        <v>140</v>
      </c>
      <c r="D41" s="6">
        <f>B16/2</f>
        <v>0.05</v>
      </c>
    </row>
    <row r="42" spans="1:19" x14ac:dyDescent="0.3">
      <c r="A42">
        <v>2</v>
      </c>
      <c r="B42" s="6" t="s">
        <v>16</v>
      </c>
      <c r="C42" s="6">
        <v>219.99999999999994</v>
      </c>
      <c r="D42" s="6">
        <f>D41+$B$16</f>
        <v>0.15000000000000002</v>
      </c>
    </row>
    <row r="43" spans="1:19" x14ac:dyDescent="0.3">
      <c r="A43">
        <v>3</v>
      </c>
      <c r="B43" s="6" t="s">
        <v>17</v>
      </c>
      <c r="C43" s="6">
        <v>300</v>
      </c>
      <c r="D43" s="6">
        <f t="shared" ref="D43" si="3">D42+$B$16</f>
        <v>0.25</v>
      </c>
    </row>
    <row r="44" spans="1:19" x14ac:dyDescent="0.3">
      <c r="A44">
        <v>4</v>
      </c>
      <c r="B44" s="6" t="s">
        <v>18</v>
      </c>
      <c r="C44" s="6">
        <v>380</v>
      </c>
      <c r="D44" s="6">
        <f>D43+$B$16</f>
        <v>0.35</v>
      </c>
    </row>
    <row r="45" spans="1:19" x14ac:dyDescent="0.3">
      <c r="A45">
        <v>5</v>
      </c>
      <c r="B45" s="6" t="s">
        <v>19</v>
      </c>
      <c r="C45" s="6">
        <v>459.99999999999994</v>
      </c>
      <c r="D45" s="6">
        <f>D44+$B$16</f>
        <v>0.44999999999999996</v>
      </c>
    </row>
    <row r="46" spans="1:19" x14ac:dyDescent="0.3">
      <c r="B46" s="6" t="s">
        <v>24</v>
      </c>
      <c r="C46" s="6">
        <v>500</v>
      </c>
      <c r="D46" s="6">
        <f>B15</f>
        <v>0.5</v>
      </c>
    </row>
    <row r="48" spans="1:19" x14ac:dyDescent="0.3">
      <c r="A48" s="1" t="s">
        <v>25</v>
      </c>
    </row>
    <row r="52" spans="2:3" x14ac:dyDescent="0.3">
      <c r="B52" t="s">
        <v>27</v>
      </c>
      <c r="C52" t="s">
        <v>26</v>
      </c>
    </row>
    <row r="53" spans="2:3" x14ac:dyDescent="0.3">
      <c r="B53">
        <v>0</v>
      </c>
      <c r="C53">
        <f>($B$18-$B$17)*B53/$B$15+$B$17</f>
        <v>100</v>
      </c>
    </row>
    <row r="54" spans="2:3" x14ac:dyDescent="0.3">
      <c r="B54">
        <v>0.05</v>
      </c>
      <c r="C54">
        <f t="shared" ref="C54:C63" si="4">($B$18-$B$17)*B54/$B$15+$B$17</f>
        <v>140</v>
      </c>
    </row>
    <row r="55" spans="2:3" x14ac:dyDescent="0.3">
      <c r="B55">
        <v>0.1</v>
      </c>
      <c r="C55">
        <f t="shared" si="4"/>
        <v>180</v>
      </c>
    </row>
    <row r="56" spans="2:3" x14ac:dyDescent="0.3">
      <c r="B56">
        <v>0.15</v>
      </c>
      <c r="C56">
        <f t="shared" si="4"/>
        <v>220</v>
      </c>
    </row>
    <row r="57" spans="2:3" x14ac:dyDescent="0.3">
      <c r="B57">
        <v>0.2</v>
      </c>
      <c r="C57">
        <f t="shared" si="4"/>
        <v>260</v>
      </c>
    </row>
    <row r="58" spans="2:3" x14ac:dyDescent="0.3">
      <c r="B58">
        <v>0.25</v>
      </c>
      <c r="C58">
        <f t="shared" si="4"/>
        <v>300</v>
      </c>
    </row>
    <row r="59" spans="2:3" x14ac:dyDescent="0.3">
      <c r="B59">
        <v>0.3</v>
      </c>
      <c r="C59">
        <f t="shared" si="4"/>
        <v>340</v>
      </c>
    </row>
    <row r="60" spans="2:3" x14ac:dyDescent="0.3">
      <c r="B60">
        <v>0.35</v>
      </c>
      <c r="C60">
        <f t="shared" si="4"/>
        <v>380</v>
      </c>
    </row>
    <row r="61" spans="2:3" x14ac:dyDescent="0.3">
      <c r="B61">
        <v>0.4</v>
      </c>
      <c r="C61">
        <f t="shared" si="4"/>
        <v>420</v>
      </c>
    </row>
    <row r="62" spans="2:3" x14ac:dyDescent="0.3">
      <c r="B62">
        <v>0.45</v>
      </c>
      <c r="C62">
        <f t="shared" si="4"/>
        <v>460</v>
      </c>
    </row>
    <row r="63" spans="2:3" x14ac:dyDescent="0.3">
      <c r="B63">
        <v>0.5</v>
      </c>
      <c r="C63">
        <f t="shared" si="4"/>
        <v>500</v>
      </c>
    </row>
    <row r="65" spans="1:4" x14ac:dyDescent="0.3">
      <c r="A65" s="1" t="s">
        <v>28</v>
      </c>
    </row>
    <row r="67" spans="1:4" x14ac:dyDescent="0.3">
      <c r="B67" t="s">
        <v>27</v>
      </c>
      <c r="C67" t="s">
        <v>29</v>
      </c>
      <c r="D67" t="s">
        <v>30</v>
      </c>
    </row>
    <row r="68" spans="1:4" x14ac:dyDescent="0.3">
      <c r="B68">
        <f t="shared" ref="B68:B74" si="5">D40</f>
        <v>0</v>
      </c>
      <c r="C68">
        <f t="shared" ref="C68:C74" si="6">C40</f>
        <v>100</v>
      </c>
    </row>
    <row r="69" spans="1:4" x14ac:dyDescent="0.3">
      <c r="B69">
        <f t="shared" si="5"/>
        <v>0.05</v>
      </c>
      <c r="C69">
        <f t="shared" si="6"/>
        <v>140</v>
      </c>
    </row>
    <row r="70" spans="1:4" x14ac:dyDescent="0.3">
      <c r="B70">
        <f t="shared" si="5"/>
        <v>0.15000000000000002</v>
      </c>
      <c r="C70">
        <f t="shared" si="6"/>
        <v>219.99999999999994</v>
      </c>
    </row>
    <row r="71" spans="1:4" x14ac:dyDescent="0.3">
      <c r="B71">
        <f t="shared" si="5"/>
        <v>0.25</v>
      </c>
      <c r="C71">
        <f t="shared" si="6"/>
        <v>300</v>
      </c>
    </row>
    <row r="72" spans="1:4" x14ac:dyDescent="0.3">
      <c r="B72">
        <f t="shared" si="5"/>
        <v>0.35</v>
      </c>
      <c r="C72">
        <f t="shared" si="6"/>
        <v>380</v>
      </c>
    </row>
    <row r="73" spans="1:4" x14ac:dyDescent="0.3">
      <c r="B73">
        <f t="shared" si="5"/>
        <v>0.44999999999999996</v>
      </c>
      <c r="C73">
        <f t="shared" si="6"/>
        <v>459.99999999999994</v>
      </c>
    </row>
    <row r="74" spans="1:4" x14ac:dyDescent="0.3">
      <c r="B74">
        <f t="shared" si="5"/>
        <v>0.5</v>
      </c>
      <c r="C74">
        <f t="shared" si="6"/>
        <v>500</v>
      </c>
    </row>
    <row r="76" spans="1:4" x14ac:dyDescent="0.3">
      <c r="B76">
        <f t="shared" ref="B76:B86" si="7">B53</f>
        <v>0</v>
      </c>
      <c r="D76">
        <f t="shared" ref="D76:D86" si="8">C53</f>
        <v>100</v>
      </c>
    </row>
    <row r="77" spans="1:4" x14ac:dyDescent="0.3">
      <c r="B77">
        <f t="shared" si="7"/>
        <v>0.05</v>
      </c>
      <c r="D77">
        <f t="shared" si="8"/>
        <v>140</v>
      </c>
    </row>
    <row r="78" spans="1:4" x14ac:dyDescent="0.3">
      <c r="B78">
        <f t="shared" si="7"/>
        <v>0.1</v>
      </c>
      <c r="D78">
        <f t="shared" si="8"/>
        <v>180</v>
      </c>
    </row>
    <row r="79" spans="1:4" x14ac:dyDescent="0.3">
      <c r="B79">
        <f t="shared" si="7"/>
        <v>0.15</v>
      </c>
      <c r="D79">
        <f t="shared" si="8"/>
        <v>220</v>
      </c>
    </row>
    <row r="80" spans="1:4" x14ac:dyDescent="0.3">
      <c r="B80">
        <f t="shared" si="7"/>
        <v>0.2</v>
      </c>
      <c r="D80">
        <f t="shared" si="8"/>
        <v>260</v>
      </c>
    </row>
    <row r="81" spans="2:4" x14ac:dyDescent="0.3">
      <c r="B81">
        <f t="shared" si="7"/>
        <v>0.25</v>
      </c>
      <c r="D81">
        <f t="shared" si="8"/>
        <v>300</v>
      </c>
    </row>
    <row r="82" spans="2:4" x14ac:dyDescent="0.3">
      <c r="B82">
        <f t="shared" si="7"/>
        <v>0.3</v>
      </c>
      <c r="D82">
        <f t="shared" si="8"/>
        <v>340</v>
      </c>
    </row>
    <row r="83" spans="2:4" x14ac:dyDescent="0.3">
      <c r="B83">
        <f t="shared" si="7"/>
        <v>0.35</v>
      </c>
      <c r="D83">
        <f t="shared" si="8"/>
        <v>380</v>
      </c>
    </row>
    <row r="84" spans="2:4" x14ac:dyDescent="0.3">
      <c r="B84">
        <f t="shared" si="7"/>
        <v>0.4</v>
      </c>
      <c r="D84">
        <f t="shared" si="8"/>
        <v>420</v>
      </c>
    </row>
    <row r="85" spans="2:4" x14ac:dyDescent="0.3">
      <c r="B85">
        <f t="shared" si="7"/>
        <v>0.45</v>
      </c>
      <c r="D85">
        <f t="shared" si="8"/>
        <v>460</v>
      </c>
    </row>
    <row r="86" spans="2:4" x14ac:dyDescent="0.3">
      <c r="B86">
        <f t="shared" si="7"/>
        <v>0.5</v>
      </c>
      <c r="D86">
        <f t="shared" si="8"/>
        <v>500</v>
      </c>
    </row>
  </sheetData>
  <mergeCells count="2">
    <mergeCell ref="B32:F32"/>
    <mergeCell ref="O32:S3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>
              <from>
                <xdr:col>8</xdr:col>
                <xdr:colOff>281940</xdr:colOff>
                <xdr:row>32</xdr:row>
                <xdr:rowOff>0</xdr:rowOff>
              </from>
              <to>
                <xdr:col>12</xdr:col>
                <xdr:colOff>449580</xdr:colOff>
                <xdr:row>37</xdr:row>
                <xdr:rowOff>53340</xdr:rowOff>
              </to>
            </anchor>
          </objectPr>
        </oleObject>
      </mc:Choice>
      <mc:Fallback>
        <oleObject progId="Equation.DSMT4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634A-DDC0-4269-BA89-BEC92AA603CF}">
  <dimension ref="A15:P118"/>
  <sheetViews>
    <sheetView topLeftCell="A95" zoomScale="85" zoomScaleNormal="85" workbookViewId="0">
      <selection activeCell="G91" sqref="G91"/>
    </sheetView>
  </sheetViews>
  <sheetFormatPr defaultRowHeight="14.4" x14ac:dyDescent="0.3"/>
  <cols>
    <col min="3" max="3" width="10.6640625" customWidth="1"/>
    <col min="4" max="4" width="10.88671875" customWidth="1"/>
    <col min="5" max="5" width="12" customWidth="1"/>
    <col min="8" max="8" width="11.109375" customWidth="1"/>
    <col min="23" max="23" width="8.88671875" customWidth="1"/>
  </cols>
  <sheetData>
    <row r="15" spans="1:2" x14ac:dyDescent="0.3">
      <c r="A15" t="s">
        <v>34</v>
      </c>
      <c r="B15">
        <v>100</v>
      </c>
    </row>
    <row r="16" spans="1:2" x14ac:dyDescent="0.3">
      <c r="A16" t="s">
        <v>35</v>
      </c>
      <c r="B16">
        <v>200</v>
      </c>
    </row>
    <row r="17" spans="1:2" x14ac:dyDescent="0.3">
      <c r="A17" t="s">
        <v>1</v>
      </c>
      <c r="B17">
        <v>0.02</v>
      </c>
    </row>
    <row r="18" spans="1:2" x14ac:dyDescent="0.3">
      <c r="A18" t="s">
        <v>36</v>
      </c>
      <c r="B18">
        <v>0.5</v>
      </c>
    </row>
    <row r="19" spans="1:2" x14ac:dyDescent="0.3">
      <c r="A19" t="s">
        <v>37</v>
      </c>
      <c r="B19">
        <v>1000</v>
      </c>
    </row>
    <row r="20" spans="1:2" x14ac:dyDescent="0.3">
      <c r="A20" t="s">
        <v>38</v>
      </c>
      <c r="B20">
        <f>B19*1000</f>
        <v>1000000</v>
      </c>
    </row>
    <row r="22" spans="1:2" x14ac:dyDescent="0.3">
      <c r="A22" s="1" t="s">
        <v>61</v>
      </c>
    </row>
    <row r="23" spans="1:2" x14ac:dyDescent="0.3">
      <c r="A23" t="s">
        <v>39</v>
      </c>
    </row>
    <row r="24" spans="1:2" x14ac:dyDescent="0.3">
      <c r="A24" t="s">
        <v>40</v>
      </c>
      <c r="B24">
        <v>5</v>
      </c>
    </row>
    <row r="25" spans="1:2" x14ac:dyDescent="0.3">
      <c r="A25" t="s">
        <v>2</v>
      </c>
      <c r="B25">
        <f>B17/B24</f>
        <v>4.0000000000000001E-3</v>
      </c>
    </row>
    <row r="26" spans="1:2" x14ac:dyDescent="0.3">
      <c r="A26" t="s">
        <v>42</v>
      </c>
    </row>
    <row r="27" spans="1:2" x14ac:dyDescent="0.3">
      <c r="A27" t="s">
        <v>43</v>
      </c>
      <c r="B27">
        <f>B24</f>
        <v>5</v>
      </c>
    </row>
    <row r="28" spans="1:2" x14ac:dyDescent="0.3">
      <c r="A28" t="s">
        <v>41</v>
      </c>
    </row>
    <row r="32" spans="1:2" x14ac:dyDescent="0.3">
      <c r="A32" t="s">
        <v>44</v>
      </c>
    </row>
    <row r="33" spans="1:2" x14ac:dyDescent="0.3">
      <c r="A33" t="s">
        <v>9</v>
      </c>
      <c r="B33">
        <f>$B$18/$B$25</f>
        <v>125</v>
      </c>
    </row>
    <row r="34" spans="1:2" x14ac:dyDescent="0.3">
      <c r="A34" t="s">
        <v>8</v>
      </c>
      <c r="B34">
        <f>$B$18/$B$25</f>
        <v>125</v>
      </c>
    </row>
    <row r="35" spans="1:2" x14ac:dyDescent="0.3">
      <c r="A35" t="s">
        <v>48</v>
      </c>
      <c r="B35">
        <f>B34+B33</f>
        <v>250</v>
      </c>
    </row>
    <row r="36" spans="1:2" x14ac:dyDescent="0.3">
      <c r="A36" t="s">
        <v>7</v>
      </c>
      <c r="B36">
        <v>0</v>
      </c>
    </row>
    <row r="37" spans="1:2" x14ac:dyDescent="0.3">
      <c r="A37" t="s">
        <v>45</v>
      </c>
      <c r="B37">
        <v>0</v>
      </c>
    </row>
    <row r="38" spans="1:2" x14ac:dyDescent="0.3">
      <c r="A38" t="s">
        <v>10</v>
      </c>
      <c r="B38">
        <f>$B$20*$B$25</f>
        <v>4000</v>
      </c>
    </row>
    <row r="39" spans="1:2" x14ac:dyDescent="0.3">
      <c r="A39" t="s">
        <v>46</v>
      </c>
      <c r="B39">
        <v>0</v>
      </c>
    </row>
    <row r="41" spans="1:2" x14ac:dyDescent="0.3">
      <c r="A41" t="s">
        <v>47</v>
      </c>
    </row>
    <row r="42" spans="1:2" x14ac:dyDescent="0.3">
      <c r="A42" t="s">
        <v>9</v>
      </c>
      <c r="B42">
        <f>$B$18/$B$25</f>
        <v>125</v>
      </c>
    </row>
    <row r="43" spans="1:2" x14ac:dyDescent="0.3">
      <c r="A43" t="s">
        <v>8</v>
      </c>
      <c r="B43">
        <v>0</v>
      </c>
    </row>
    <row r="44" spans="1:2" x14ac:dyDescent="0.3">
      <c r="A44" t="s">
        <v>48</v>
      </c>
      <c r="B44">
        <f>B43+B42</f>
        <v>125</v>
      </c>
    </row>
    <row r="45" spans="1:2" x14ac:dyDescent="0.3">
      <c r="A45" t="s">
        <v>7</v>
      </c>
      <c r="B45">
        <v>0</v>
      </c>
    </row>
    <row r="46" spans="1:2" x14ac:dyDescent="0.3">
      <c r="A46" t="s">
        <v>45</v>
      </c>
      <c r="B46">
        <f>-2*$B$18/$B$25</f>
        <v>-250</v>
      </c>
    </row>
    <row r="47" spans="1:2" x14ac:dyDescent="0.3">
      <c r="A47" t="s">
        <v>10</v>
      </c>
      <c r="B47">
        <f>$B$20*$B$25</f>
        <v>4000</v>
      </c>
    </row>
    <row r="48" spans="1:2" x14ac:dyDescent="0.3">
      <c r="A48" t="s">
        <v>46</v>
      </c>
      <c r="B48">
        <f>2*$B$18*$B$15/$B$25</f>
        <v>25000</v>
      </c>
    </row>
    <row r="50" spans="1:6" x14ac:dyDescent="0.3">
      <c r="A50" t="s">
        <v>49</v>
      </c>
    </row>
    <row r="51" spans="1:6" x14ac:dyDescent="0.3">
      <c r="A51" t="s">
        <v>9</v>
      </c>
      <c r="B51">
        <v>0</v>
      </c>
    </row>
    <row r="52" spans="1:6" x14ac:dyDescent="0.3">
      <c r="A52" t="s">
        <v>8</v>
      </c>
      <c r="B52">
        <f>B18/B25</f>
        <v>125</v>
      </c>
    </row>
    <row r="53" spans="1:6" x14ac:dyDescent="0.3">
      <c r="A53" t="s">
        <v>48</v>
      </c>
      <c r="B53">
        <f>B52+B51</f>
        <v>125</v>
      </c>
    </row>
    <row r="54" spans="1:6" x14ac:dyDescent="0.3">
      <c r="A54" t="s">
        <v>7</v>
      </c>
      <c r="B54">
        <v>0</v>
      </c>
    </row>
    <row r="55" spans="1:6" x14ac:dyDescent="0.3">
      <c r="A55" t="s">
        <v>45</v>
      </c>
      <c r="B55">
        <f>-2*$B$18/$B$25</f>
        <v>-250</v>
      </c>
    </row>
    <row r="56" spans="1:6" x14ac:dyDescent="0.3">
      <c r="A56" t="s">
        <v>10</v>
      </c>
      <c r="B56">
        <f>$B$20*$B$25</f>
        <v>4000</v>
      </c>
    </row>
    <row r="57" spans="1:6" x14ac:dyDescent="0.3">
      <c r="A57" t="s">
        <v>46</v>
      </c>
      <c r="B57">
        <f>2*$B$18*$B$16/$B$25</f>
        <v>50000</v>
      </c>
    </row>
    <row r="59" spans="1:6" x14ac:dyDescent="0.3">
      <c r="A59" t="s">
        <v>50</v>
      </c>
    </row>
    <row r="60" spans="1:6" x14ac:dyDescent="0.3">
      <c r="A60" t="s">
        <v>51</v>
      </c>
      <c r="B60">
        <v>1</v>
      </c>
      <c r="C60">
        <v>2</v>
      </c>
      <c r="D60">
        <v>3</v>
      </c>
      <c r="E60">
        <v>4</v>
      </c>
      <c r="F60">
        <v>5</v>
      </c>
    </row>
    <row r="61" spans="1:6" x14ac:dyDescent="0.3">
      <c r="A61">
        <v>1</v>
      </c>
      <c r="B61">
        <f>IF(AND($B$60=1,A61=1),($B$44-$B$45-$B$46),IF(AND($B$60=$B$27,A61=$B$27),($B$53-$B$54-$B$55),IF($B$60=A61,$B$35,0)))</f>
        <v>375</v>
      </c>
      <c r="C61">
        <f>IF(AND($C$60=1,A61=1),($B$44-$B$45-$B$46),IF(AND($C$60=$B$27,A61=$B$27),($B$53-$B$54-$B$55),IF($C$60=A61,$B$35,0)))</f>
        <v>0</v>
      </c>
      <c r="D61">
        <f>IF(AND($D$60=1,A61=1),($B$44-$B$45-$B$46),IF(AND($D$60=$B$27,A61=$B$27),($B$53-$B$54-$B$55),IF($D$60=A61,$B$35,0)))</f>
        <v>0</v>
      </c>
      <c r="E61">
        <f>IF(AND($E$60=1,A61=1),($B$44-$B$45-$B$46),IF(AND($E$60=$B$27,A61=$B$27),($B$53-$B$54-$B$55),IF($E$60=A61,$B$35,0)))</f>
        <v>0</v>
      </c>
      <c r="F61">
        <f>IF(AND($F$60=1,A61=1),($B$44-$B$45-$B$46),IF(AND($F$60=$B$27,A61=$B$27),($B$53-$B$54-$B$55),IF($F$60=A61,$B$35,0)))</f>
        <v>0</v>
      </c>
    </row>
    <row r="62" spans="1:6" x14ac:dyDescent="0.3">
      <c r="A62">
        <v>2</v>
      </c>
      <c r="B62">
        <f t="shared" ref="B62:B65" si="0">IF(AND($B$60=1,A62=1),($B$44-$B$45-$B$46),IF(AND($B$60=$B$27,A62=$B$27),($B$53-$B$54-$B$55),IF($B$60=A62,$B$35,0)))</f>
        <v>0</v>
      </c>
      <c r="C62">
        <f t="shared" ref="C62:C65" si="1">IF(AND($C$60=1,A62=1),($B$44-$B$45-$B$46),IF(AND($C$60=$B$27,A62=$B$27),($B$53-$B$54-$B$55),IF($C$60=A62,$B$35,0)))</f>
        <v>250</v>
      </c>
      <c r="D62">
        <f t="shared" ref="D62:D65" si="2">IF(AND($D$60=1,A62=1),($B$44-$B$45-$B$46),IF(AND($D$60=$B$27,A62=$B$27),($B$53-$B$54-$B$55),IF($D$60=A62,$B$35,0)))</f>
        <v>0</v>
      </c>
      <c r="E62">
        <f t="shared" ref="E62:E65" si="3">IF(AND($E$60=1,A62=1),($B$44-$B$45-$B$46),IF(AND($E$60=$B$27,A62=$B$27),($B$53-$B$54-$B$55),IF($E$60=A62,$B$35,0)))</f>
        <v>0</v>
      </c>
      <c r="F62">
        <f t="shared" ref="F62:F65" si="4">IF(AND($F$60=1,A62=1),($B$44-$B$45-$B$46),IF(AND($F$60=$B$27,A62=$B$27),($B$53-$B$54-$B$55),IF($F$60=A62,$B$35,0)))</f>
        <v>0</v>
      </c>
    </row>
    <row r="63" spans="1:6" x14ac:dyDescent="0.3">
      <c r="A63">
        <v>3</v>
      </c>
      <c r="B63">
        <f t="shared" si="0"/>
        <v>0</v>
      </c>
      <c r="C63">
        <f t="shared" si="1"/>
        <v>0</v>
      </c>
      <c r="D63">
        <f t="shared" si="2"/>
        <v>250</v>
      </c>
      <c r="E63">
        <f t="shared" si="3"/>
        <v>0</v>
      </c>
      <c r="F63">
        <f t="shared" si="4"/>
        <v>0</v>
      </c>
    </row>
    <row r="64" spans="1:6" x14ac:dyDescent="0.3">
      <c r="A64">
        <v>4</v>
      </c>
      <c r="B64">
        <f t="shared" si="0"/>
        <v>0</v>
      </c>
      <c r="C64">
        <f t="shared" si="1"/>
        <v>0</v>
      </c>
      <c r="D64">
        <f t="shared" si="2"/>
        <v>0</v>
      </c>
      <c r="E64">
        <f t="shared" si="3"/>
        <v>250</v>
      </c>
      <c r="F64">
        <f t="shared" si="4"/>
        <v>0</v>
      </c>
    </row>
    <row r="65" spans="1:16" x14ac:dyDescent="0.3">
      <c r="A65">
        <v>5</v>
      </c>
      <c r="B65">
        <f t="shared" si="0"/>
        <v>0</v>
      </c>
      <c r="C65">
        <f t="shared" si="1"/>
        <v>0</v>
      </c>
      <c r="D65">
        <f t="shared" si="2"/>
        <v>0</v>
      </c>
      <c r="E65">
        <f t="shared" si="3"/>
        <v>0</v>
      </c>
      <c r="F65">
        <f t="shared" si="4"/>
        <v>375</v>
      </c>
    </row>
    <row r="66" spans="1:16" x14ac:dyDescent="0.3">
      <c r="A66" t="s">
        <v>52</v>
      </c>
    </row>
    <row r="67" spans="1:16" x14ac:dyDescent="0.3">
      <c r="A67" t="s">
        <v>51</v>
      </c>
      <c r="B67">
        <v>1</v>
      </c>
      <c r="C67">
        <v>2</v>
      </c>
      <c r="D67">
        <v>3</v>
      </c>
      <c r="E67">
        <v>4</v>
      </c>
      <c r="F67">
        <v>5</v>
      </c>
    </row>
    <row r="68" spans="1:16" x14ac:dyDescent="0.3">
      <c r="A68">
        <v>1</v>
      </c>
      <c r="B68">
        <f>IF(AND($B$60=1,A68=1),$B$43,IF(AND($B$60=$B$27,A68=$B$27),0,IF($B$60=A68-1,-$B$34,0)))</f>
        <v>0</v>
      </c>
      <c r="C68">
        <f>IF(AND($C$60=1,A68=1),$B$43,IF(AND($C$60=B27,A68=$B$27),0,IF($C$60=A68-1,-$B$34,0)))</f>
        <v>0</v>
      </c>
      <c r="D68">
        <f>IF(AND($D$60=1,A68=1),$B$43,IF(AND($D$60=$B$27,A68=$B$27),0,IF($D$60=A68-1,-$B$34,0)))</f>
        <v>0</v>
      </c>
      <c r="E68">
        <f>IF(AND($E$60=1,A68=1),$B$43,IF(AND($E$60=$B$27,A68=$B$27),0,IF($E$60=A68-1,-$B$34,0)))</f>
        <v>0</v>
      </c>
      <c r="F68">
        <f>IF(AND($F$60=1,A68=1),$B$43,IF(AND($F$60=$B$27,A68=$B$27),0,IF($F$60=A68-1,-$B$34,0)))</f>
        <v>0</v>
      </c>
    </row>
    <row r="69" spans="1:16" x14ac:dyDescent="0.3">
      <c r="A69">
        <v>2</v>
      </c>
      <c r="B69">
        <f t="shared" ref="B69:B72" si="5">IF(AND($B$60=1,A69=1),$B$43,IF(AND($B$60=$B$27,A69=$B$27),0,IF($B$60=A69-1,-$B$34,0)))</f>
        <v>-125</v>
      </c>
      <c r="C69">
        <f t="shared" ref="C69:C72" si="6">IF(AND($C$60=1,A69=1),$B$43,IF(AND($C$60=B28,A69=$B$27),0,IF($C$60=A69-1,-$B$34,0)))</f>
        <v>0</v>
      </c>
      <c r="D69">
        <f t="shared" ref="D69:D72" si="7">IF(AND($D$60=1,A69=1),$B$43,IF(AND($D$60=$B$27,A69=$B$27),0,IF($D$60=A69-1,-$B$34,0)))</f>
        <v>0</v>
      </c>
      <c r="E69">
        <f t="shared" ref="E69:E72" si="8">IF(AND($E$60=1,A69=1),$B$43,IF(AND($E$60=$B$27,A69=$B$27),0,IF($E$60=A69-1,-$B$34,0)))</f>
        <v>0</v>
      </c>
      <c r="F69">
        <f t="shared" ref="F69:F72" si="9">IF(AND($F$60=1,A69=1),$B$43,IF(AND($F$60=$B$27,A69=$B$27),0,IF($F$60=A69-1,-$B$34,0)))</f>
        <v>0</v>
      </c>
    </row>
    <row r="70" spans="1:16" x14ac:dyDescent="0.3">
      <c r="A70">
        <v>3</v>
      </c>
      <c r="B70">
        <f t="shared" si="5"/>
        <v>0</v>
      </c>
      <c r="C70">
        <f t="shared" si="6"/>
        <v>-125</v>
      </c>
      <c r="D70">
        <f t="shared" si="7"/>
        <v>0</v>
      </c>
      <c r="E70">
        <f t="shared" si="8"/>
        <v>0</v>
      </c>
      <c r="F70">
        <f t="shared" si="9"/>
        <v>0</v>
      </c>
    </row>
    <row r="71" spans="1:16" x14ac:dyDescent="0.3">
      <c r="A71">
        <v>4</v>
      </c>
      <c r="B71">
        <f t="shared" si="5"/>
        <v>0</v>
      </c>
      <c r="C71">
        <f t="shared" si="6"/>
        <v>0</v>
      </c>
      <c r="D71">
        <f t="shared" si="7"/>
        <v>-125</v>
      </c>
      <c r="E71">
        <f t="shared" si="8"/>
        <v>0</v>
      </c>
      <c r="F71">
        <f t="shared" si="9"/>
        <v>0</v>
      </c>
    </row>
    <row r="72" spans="1:16" x14ac:dyDescent="0.3">
      <c r="A72">
        <v>5</v>
      </c>
      <c r="B72">
        <f t="shared" si="5"/>
        <v>0</v>
      </c>
      <c r="C72">
        <f t="shared" si="6"/>
        <v>0</v>
      </c>
      <c r="D72">
        <f t="shared" si="7"/>
        <v>0</v>
      </c>
      <c r="E72">
        <f t="shared" si="8"/>
        <v>-125</v>
      </c>
      <c r="F72">
        <f t="shared" si="9"/>
        <v>0</v>
      </c>
    </row>
    <row r="73" spans="1:16" x14ac:dyDescent="0.3">
      <c r="A73" t="s">
        <v>53</v>
      </c>
    </row>
    <row r="74" spans="1:16" x14ac:dyDescent="0.3">
      <c r="A74" t="s">
        <v>51</v>
      </c>
      <c r="B74">
        <v>1</v>
      </c>
      <c r="C74">
        <v>2</v>
      </c>
      <c r="D74">
        <v>3</v>
      </c>
      <c r="E74">
        <v>4</v>
      </c>
      <c r="F74">
        <v>5</v>
      </c>
    </row>
    <row r="75" spans="1:16" x14ac:dyDescent="0.3">
      <c r="A75">
        <v>1</v>
      </c>
      <c r="B75">
        <f>IF(AND($B$60=1,A75=1),0,IF(AND($B$60=$B$27,A75=$B$27),$B$51,IF($B$60=A75+1,-$B$33,0)))</f>
        <v>0</v>
      </c>
      <c r="C75">
        <f>IF(AND($C$60=1,A75=1),0,IF(AND($C$60=$B$27,A75=$B$27),$B$51,IF($C$60=A75+1,-$B$33,0)))</f>
        <v>-125</v>
      </c>
      <c r="D75">
        <f>IF(AND($D$60=1,A75=1),0,IF(AND($D$60=$B$27,A75=$B$27),$B$51,IF($D$60=A75+1,-$B$33,0)))</f>
        <v>0</v>
      </c>
      <c r="E75">
        <f>IF(AND($E$60=1,A75=1),0,IF(AND($E$60=$B$27,A75=$B$27),$B$51,IF($E$60=A75+1,-$B$33,0)))</f>
        <v>0</v>
      </c>
      <c r="F75">
        <f>IF(AND($F$60=1,A75=1),0,IF(AND($F$60=$B$27,A75=$B$27),$B$51,IF($F$60=A75+1,-$B$33,0)))</f>
        <v>0</v>
      </c>
    </row>
    <row r="76" spans="1:16" x14ac:dyDescent="0.3">
      <c r="A76">
        <v>2</v>
      </c>
      <c r="B76">
        <f t="shared" ref="B76:B79" si="10">IF(AND($B$60=1,A76=1),0,IF(AND($B$60=$B$27,A76=$B$27),$B$51,IF($B$60=A76+1,-$B$33,0)))</f>
        <v>0</v>
      </c>
      <c r="C76">
        <f t="shared" ref="C76:C79" si="11">IF(AND($C$60=1,A76=1),0,IF(AND($C$60=$B$27,A76=$B$27),$B$51,IF($C$60=A76+1,-$B$33,0)))</f>
        <v>0</v>
      </c>
      <c r="D76">
        <f t="shared" ref="D76:D79" si="12">IF(AND($D$60=1,A76=1),0,IF(AND($D$60=$B$27,A76=$B$27),$B$51,IF($D$60=A76+1,-$B$33,0)))</f>
        <v>-125</v>
      </c>
      <c r="E76">
        <f t="shared" ref="E76:E79" si="13">IF(AND($E$60=1,A76=1),0,IF(AND($E$60=$B$27,A76=$B$27),$B$51,IF($E$60=A76+1,-$B$33,0)))</f>
        <v>0</v>
      </c>
      <c r="F76">
        <f t="shared" ref="F76:F79" si="14">IF(AND($F$60=1,A76=1),0,IF(AND($F$60=$B$27,A76=$B$27),$B$51,IF($F$60=A76+1,-$B$33,0)))</f>
        <v>0</v>
      </c>
    </row>
    <row r="77" spans="1:16" x14ac:dyDescent="0.3">
      <c r="A77">
        <v>3</v>
      </c>
      <c r="B77">
        <f t="shared" si="10"/>
        <v>0</v>
      </c>
      <c r="C77">
        <f t="shared" si="11"/>
        <v>0</v>
      </c>
      <c r="D77">
        <f t="shared" si="12"/>
        <v>0</v>
      </c>
      <c r="E77">
        <f t="shared" si="13"/>
        <v>-125</v>
      </c>
      <c r="F77">
        <f t="shared" si="14"/>
        <v>0</v>
      </c>
    </row>
    <row r="78" spans="1:16" x14ac:dyDescent="0.3">
      <c r="A78">
        <v>4</v>
      </c>
      <c r="B78">
        <f t="shared" si="10"/>
        <v>0</v>
      </c>
      <c r="C78">
        <f t="shared" si="11"/>
        <v>0</v>
      </c>
      <c r="D78">
        <f t="shared" si="12"/>
        <v>0</v>
      </c>
      <c r="E78">
        <f t="shared" si="13"/>
        <v>0</v>
      </c>
      <c r="F78">
        <f t="shared" si="14"/>
        <v>-125</v>
      </c>
    </row>
    <row r="79" spans="1:16" x14ac:dyDescent="0.3">
      <c r="A79">
        <v>5</v>
      </c>
      <c r="B79">
        <f t="shared" si="10"/>
        <v>0</v>
      </c>
      <c r="C79">
        <f t="shared" si="11"/>
        <v>0</v>
      </c>
      <c r="D79">
        <f t="shared" si="12"/>
        <v>0</v>
      </c>
      <c r="E79">
        <f t="shared" si="13"/>
        <v>0</v>
      </c>
      <c r="F79">
        <f t="shared" si="14"/>
        <v>0</v>
      </c>
    </row>
    <row r="80" spans="1:16" ht="28.8" x14ac:dyDescent="0.3">
      <c r="A80" s="7" t="s">
        <v>13</v>
      </c>
      <c r="B80" s="5"/>
      <c r="C80" s="5"/>
      <c r="D80" s="5"/>
      <c r="E80" s="5"/>
      <c r="F80" s="5"/>
      <c r="H80" s="11" t="s">
        <v>68</v>
      </c>
      <c r="L80" s="9" t="s">
        <v>21</v>
      </c>
      <c r="M80" s="10"/>
      <c r="N80" s="10"/>
      <c r="O80" s="10"/>
      <c r="P80" s="10"/>
    </row>
    <row r="81" spans="1:16" x14ac:dyDescent="0.3">
      <c r="A81" s="5"/>
      <c r="B81" s="5">
        <v>1</v>
      </c>
      <c r="C81" s="5">
        <v>2</v>
      </c>
      <c r="D81" s="5">
        <v>3</v>
      </c>
      <c r="E81" s="5">
        <v>4</v>
      </c>
      <c r="F81" s="5">
        <v>5</v>
      </c>
      <c r="H81" s="8"/>
      <c r="L81" s="10"/>
      <c r="M81" s="10"/>
      <c r="N81" s="10"/>
      <c r="O81" s="10"/>
      <c r="P81" s="10"/>
    </row>
    <row r="82" spans="1:16" x14ac:dyDescent="0.3">
      <c r="A82" s="5">
        <v>1</v>
      </c>
      <c r="B82" s="5">
        <f>B61+B68+B75</f>
        <v>375</v>
      </c>
      <c r="C82" s="5">
        <f t="shared" ref="C82:F82" si="15">C61+C68+C75</f>
        <v>-125</v>
      </c>
      <c r="D82" s="5">
        <f t="shared" si="15"/>
        <v>0</v>
      </c>
      <c r="E82" s="5">
        <f t="shared" si="15"/>
        <v>0</v>
      </c>
      <c r="F82" s="5">
        <f t="shared" si="15"/>
        <v>0</v>
      </c>
      <c r="H82" s="8">
        <f>IF(A82=1,($B$47+$B$48),IF(A82=$B$27,($B$56+$B$57),($B$38+$B$39)))</f>
        <v>29000</v>
      </c>
      <c r="L82" s="10">
        <f t="array" ref="L82:P86">MINVERSE(B82:F86)</f>
        <v>3.5999999999999995E-3</v>
      </c>
      <c r="M82" s="10">
        <v>2.8E-3</v>
      </c>
      <c r="N82" s="10">
        <v>2E-3</v>
      </c>
      <c r="O82" s="10">
        <v>1.2000000000000001E-3</v>
      </c>
      <c r="P82" s="10">
        <v>3.9999999999999996E-4</v>
      </c>
    </row>
    <row r="83" spans="1:16" x14ac:dyDescent="0.3">
      <c r="A83" s="5">
        <v>2</v>
      </c>
      <c r="B83" s="5">
        <f t="shared" ref="B83:F83" si="16">B62+B69+B76</f>
        <v>-125</v>
      </c>
      <c r="C83" s="5">
        <f t="shared" si="16"/>
        <v>250</v>
      </c>
      <c r="D83" s="5">
        <f t="shared" si="16"/>
        <v>-125</v>
      </c>
      <c r="E83" s="5">
        <f t="shared" si="16"/>
        <v>0</v>
      </c>
      <c r="F83" s="5">
        <f t="shared" si="16"/>
        <v>0</v>
      </c>
      <c r="H83" s="8">
        <f t="shared" ref="H83:H86" si="17">IF(A83=1,($B$47+$B$48),IF(A83=$B$27,($B$56+$B$57),($B$38+$B$39)))</f>
        <v>4000</v>
      </c>
      <c r="L83" s="10">
        <v>2.7999999999999995E-3</v>
      </c>
      <c r="M83" s="10">
        <v>8.3999999999999995E-3</v>
      </c>
      <c r="N83" s="10">
        <v>6.0000000000000001E-3</v>
      </c>
      <c r="O83" s="10">
        <v>3.5999999999999999E-3</v>
      </c>
      <c r="P83" s="10">
        <v>1.1999999999999999E-3</v>
      </c>
    </row>
    <row r="84" spans="1:16" x14ac:dyDescent="0.3">
      <c r="A84" s="5">
        <v>3</v>
      </c>
      <c r="B84" s="5">
        <f t="shared" ref="B84:F84" si="18">B63+B70+B77</f>
        <v>0</v>
      </c>
      <c r="C84" s="5">
        <f t="shared" si="18"/>
        <v>-125</v>
      </c>
      <c r="D84" s="5">
        <f t="shared" si="18"/>
        <v>250</v>
      </c>
      <c r="E84" s="5">
        <f t="shared" si="18"/>
        <v>-125</v>
      </c>
      <c r="F84" s="5">
        <f t="shared" si="18"/>
        <v>0</v>
      </c>
      <c r="H84" s="8">
        <f t="shared" si="17"/>
        <v>4000</v>
      </c>
      <c r="L84" s="10">
        <v>2E-3</v>
      </c>
      <c r="M84" s="10">
        <v>5.9999999999999993E-3</v>
      </c>
      <c r="N84" s="10">
        <v>0.01</v>
      </c>
      <c r="O84" s="10">
        <v>6.0000000000000001E-3</v>
      </c>
      <c r="P84" s="10">
        <v>2E-3</v>
      </c>
    </row>
    <row r="85" spans="1:16" x14ac:dyDescent="0.3">
      <c r="A85" s="5">
        <v>4</v>
      </c>
      <c r="B85" s="5">
        <f t="shared" ref="B85:F85" si="19">B64+B71+B78</f>
        <v>0</v>
      </c>
      <c r="C85" s="5">
        <f t="shared" si="19"/>
        <v>0</v>
      </c>
      <c r="D85" s="5">
        <f t="shared" si="19"/>
        <v>-125</v>
      </c>
      <c r="E85" s="5">
        <f t="shared" si="19"/>
        <v>250</v>
      </c>
      <c r="F85" s="5">
        <f t="shared" si="19"/>
        <v>-125</v>
      </c>
      <c r="H85" s="8">
        <f t="shared" si="17"/>
        <v>4000</v>
      </c>
      <c r="L85" s="10">
        <v>1.1999999999999999E-3</v>
      </c>
      <c r="M85" s="10">
        <v>3.5999999999999995E-3</v>
      </c>
      <c r="N85" s="10">
        <v>6.0000000000000001E-3</v>
      </c>
      <c r="O85" s="10">
        <v>8.3999999999999995E-3</v>
      </c>
      <c r="P85" s="10">
        <v>2.8E-3</v>
      </c>
    </row>
    <row r="86" spans="1:16" x14ac:dyDescent="0.3">
      <c r="A86" s="5">
        <v>5</v>
      </c>
      <c r="B86" s="5">
        <f t="shared" ref="B86:F86" si="20">B65+B72+B79</f>
        <v>0</v>
      </c>
      <c r="C86" s="5">
        <f t="shared" si="20"/>
        <v>0</v>
      </c>
      <c r="D86" s="5">
        <f t="shared" si="20"/>
        <v>0</v>
      </c>
      <c r="E86" s="5">
        <f t="shared" si="20"/>
        <v>-125</v>
      </c>
      <c r="F86" s="5">
        <f t="shared" si="20"/>
        <v>375</v>
      </c>
      <c r="H86" s="8">
        <f t="shared" si="17"/>
        <v>54000</v>
      </c>
      <c r="L86" s="10">
        <v>3.9999999999999996E-4</v>
      </c>
      <c r="M86" s="10">
        <v>1.1999999999999999E-3</v>
      </c>
      <c r="N86" s="10">
        <v>2E-3</v>
      </c>
      <c r="O86" s="10">
        <v>2.8E-3</v>
      </c>
      <c r="P86" s="10">
        <v>3.5999999999999999E-3</v>
      </c>
    </row>
    <row r="88" spans="1:16" x14ac:dyDescent="0.3">
      <c r="A88" s="6" t="s">
        <v>54</v>
      </c>
      <c r="B88" s="6" t="s">
        <v>26</v>
      </c>
      <c r="C88" s="6" t="s">
        <v>27</v>
      </c>
    </row>
    <row r="89" spans="1:16" x14ac:dyDescent="0.3">
      <c r="A89" s="6" t="s">
        <v>23</v>
      </c>
      <c r="B89" s="6">
        <v>100</v>
      </c>
      <c r="C89" s="6">
        <v>0</v>
      </c>
    </row>
    <row r="90" spans="1:16" x14ac:dyDescent="0.3">
      <c r="A90" s="6" t="s">
        <v>55</v>
      </c>
      <c r="B90" s="6">
        <f t="array" ref="B90:B94">MMULT(L82:P86,H82:H86)</f>
        <v>150</v>
      </c>
      <c r="C90" s="6">
        <f>$B$25/2</f>
        <v>2E-3</v>
      </c>
    </row>
    <row r="91" spans="1:16" x14ac:dyDescent="0.3">
      <c r="A91" s="6" t="s">
        <v>56</v>
      </c>
      <c r="B91" s="6">
        <v>218</v>
      </c>
      <c r="C91" s="6">
        <f>C90+$B$25</f>
        <v>6.0000000000000001E-3</v>
      </c>
    </row>
    <row r="92" spans="1:16" x14ac:dyDescent="0.3">
      <c r="A92" s="6" t="s">
        <v>57</v>
      </c>
      <c r="B92" s="6">
        <v>254</v>
      </c>
      <c r="C92" s="6">
        <f t="shared" ref="C92:C94" si="21">C91+$B$25</f>
        <v>0.01</v>
      </c>
    </row>
    <row r="93" spans="1:16" x14ac:dyDescent="0.3">
      <c r="A93" s="6" t="s">
        <v>58</v>
      </c>
      <c r="B93" s="6">
        <v>258</v>
      </c>
      <c r="C93" s="6">
        <f t="shared" si="21"/>
        <v>1.4E-2</v>
      </c>
    </row>
    <row r="94" spans="1:16" x14ac:dyDescent="0.3">
      <c r="A94" s="6" t="s">
        <v>59</v>
      </c>
      <c r="B94" s="6">
        <v>230</v>
      </c>
      <c r="C94" s="6">
        <f t="shared" si="21"/>
        <v>1.8000000000000002E-2</v>
      </c>
    </row>
    <row r="95" spans="1:16" x14ac:dyDescent="0.3">
      <c r="A95" s="6" t="s">
        <v>24</v>
      </c>
      <c r="B95" s="6">
        <v>200</v>
      </c>
      <c r="C95" s="6">
        <f>C94+$B$25/2</f>
        <v>2.0000000000000004E-2</v>
      </c>
    </row>
    <row r="97" spans="1:5" x14ac:dyDescent="0.3">
      <c r="A97" s="1" t="s">
        <v>60</v>
      </c>
    </row>
    <row r="99" spans="1:5" x14ac:dyDescent="0.3">
      <c r="B99" t="s">
        <v>62</v>
      </c>
    </row>
    <row r="100" spans="1:5" x14ac:dyDescent="0.3">
      <c r="C100" s="1" t="s">
        <v>30</v>
      </c>
      <c r="D100" s="26" t="s">
        <v>29</v>
      </c>
      <c r="E100" s="26"/>
    </row>
    <row r="101" spans="1:5" x14ac:dyDescent="0.3">
      <c r="B101" t="s">
        <v>27</v>
      </c>
      <c r="C101" s="1" t="s">
        <v>63</v>
      </c>
      <c r="D101" s="1" t="s">
        <v>63</v>
      </c>
      <c r="E101" s="1" t="s">
        <v>64</v>
      </c>
    </row>
    <row r="102" spans="1:5" x14ac:dyDescent="0.3">
      <c r="B102">
        <v>0</v>
      </c>
      <c r="C102">
        <f>B102*(($B$16-$B$15)/$B$17+($B$20/(2*$B$18))*($B$17-B102))+$B$15</f>
        <v>100</v>
      </c>
      <c r="D102">
        <f t="shared" ref="D102:D108" si="22">B89</f>
        <v>100</v>
      </c>
      <c r="E102">
        <f>IFERROR((100*ABS((C102-D102)/C102)),0)</f>
        <v>0</v>
      </c>
    </row>
    <row r="103" spans="1:5" x14ac:dyDescent="0.3">
      <c r="B103">
        <v>2E-3</v>
      </c>
      <c r="C103">
        <f t="shared" ref="C103:C108" si="23">B103*(($B$16-$B$15)/$B$17+($B$20/(2*$B$18))*($B$17-B103))+$B$15</f>
        <v>146</v>
      </c>
      <c r="D103">
        <f t="shared" si="22"/>
        <v>150</v>
      </c>
      <c r="E103">
        <f t="shared" ref="E103:E108" si="24">IFERROR((100*ABS((C103-D103)/C103)),0)</f>
        <v>2.7397260273972601</v>
      </c>
    </row>
    <row r="104" spans="1:5" x14ac:dyDescent="0.3">
      <c r="B104">
        <v>6.0000000000000001E-3</v>
      </c>
      <c r="C104">
        <f t="shared" si="23"/>
        <v>214</v>
      </c>
      <c r="D104">
        <f t="shared" si="22"/>
        <v>218</v>
      </c>
      <c r="E104">
        <f t="shared" si="24"/>
        <v>1.8691588785046727</v>
      </c>
    </row>
    <row r="105" spans="1:5" x14ac:dyDescent="0.3">
      <c r="B105">
        <v>0.01</v>
      </c>
      <c r="C105">
        <f t="shared" si="23"/>
        <v>250</v>
      </c>
      <c r="D105">
        <f t="shared" si="22"/>
        <v>254</v>
      </c>
      <c r="E105">
        <f t="shared" si="24"/>
        <v>1.6</v>
      </c>
    </row>
    <row r="106" spans="1:5" x14ac:dyDescent="0.3">
      <c r="B106">
        <v>1.4E-2</v>
      </c>
      <c r="C106">
        <f t="shared" si="23"/>
        <v>254</v>
      </c>
      <c r="D106">
        <f t="shared" si="22"/>
        <v>258</v>
      </c>
      <c r="E106">
        <f t="shared" si="24"/>
        <v>1.5748031496062991</v>
      </c>
    </row>
    <row r="107" spans="1:5" x14ac:dyDescent="0.3">
      <c r="B107">
        <v>1.8000000000000002E-2</v>
      </c>
      <c r="C107">
        <f t="shared" si="23"/>
        <v>226</v>
      </c>
      <c r="D107">
        <f t="shared" si="22"/>
        <v>230</v>
      </c>
      <c r="E107">
        <f t="shared" si="24"/>
        <v>1.7699115044247788</v>
      </c>
    </row>
    <row r="108" spans="1:5" x14ac:dyDescent="0.3">
      <c r="B108">
        <v>2.0000000000000004E-2</v>
      </c>
      <c r="C108">
        <f t="shared" si="23"/>
        <v>199.99999999999994</v>
      </c>
      <c r="D108">
        <f t="shared" si="22"/>
        <v>200</v>
      </c>
      <c r="E108">
        <f t="shared" si="24"/>
        <v>2.842170943040402E-14</v>
      </c>
    </row>
    <row r="110" spans="1:5" x14ac:dyDescent="0.3">
      <c r="A110" s="1" t="s">
        <v>65</v>
      </c>
    </row>
    <row r="111" spans="1:5" x14ac:dyDescent="0.3">
      <c r="B111" t="s">
        <v>27</v>
      </c>
      <c r="C111" t="s">
        <v>66</v>
      </c>
      <c r="D111" t="s">
        <v>67</v>
      </c>
    </row>
    <row r="112" spans="1:5" x14ac:dyDescent="0.3">
      <c r="B112">
        <v>0</v>
      </c>
      <c r="C112">
        <f t="shared" ref="C112:C118" si="25">B89</f>
        <v>100</v>
      </c>
      <c r="D112">
        <f t="shared" ref="D112:D118" si="26">C102</f>
        <v>100</v>
      </c>
    </row>
    <row r="113" spans="2:4" x14ac:dyDescent="0.3">
      <c r="B113">
        <f>$B$25/2</f>
        <v>2E-3</v>
      </c>
      <c r="C113">
        <f t="shared" si="25"/>
        <v>150</v>
      </c>
      <c r="D113">
        <f t="shared" si="26"/>
        <v>146</v>
      </c>
    </row>
    <row r="114" spans="2:4" x14ac:dyDescent="0.3">
      <c r="B114">
        <f>B113+$B$25</f>
        <v>6.0000000000000001E-3</v>
      </c>
      <c r="C114">
        <f t="shared" si="25"/>
        <v>218</v>
      </c>
      <c r="D114">
        <f t="shared" si="26"/>
        <v>214</v>
      </c>
    </row>
    <row r="115" spans="2:4" x14ac:dyDescent="0.3">
      <c r="B115">
        <f t="shared" ref="B115:B117" si="27">B114+$B$25</f>
        <v>0.01</v>
      </c>
      <c r="C115">
        <f t="shared" si="25"/>
        <v>254</v>
      </c>
      <c r="D115">
        <f t="shared" si="26"/>
        <v>250</v>
      </c>
    </row>
    <row r="116" spans="2:4" x14ac:dyDescent="0.3">
      <c r="B116">
        <f t="shared" si="27"/>
        <v>1.4E-2</v>
      </c>
      <c r="C116">
        <f t="shared" si="25"/>
        <v>258</v>
      </c>
      <c r="D116">
        <f t="shared" si="26"/>
        <v>254</v>
      </c>
    </row>
    <row r="117" spans="2:4" x14ac:dyDescent="0.3">
      <c r="B117">
        <f t="shared" si="27"/>
        <v>1.8000000000000002E-2</v>
      </c>
      <c r="C117">
        <f t="shared" si="25"/>
        <v>230</v>
      </c>
      <c r="D117">
        <f t="shared" si="26"/>
        <v>226</v>
      </c>
    </row>
    <row r="118" spans="2:4" x14ac:dyDescent="0.3">
      <c r="B118">
        <f>B117+$B$25/2</f>
        <v>2.0000000000000004E-2</v>
      </c>
      <c r="C118">
        <f t="shared" si="25"/>
        <v>200</v>
      </c>
      <c r="D118">
        <f t="shared" si="26"/>
        <v>199.99999999999994</v>
      </c>
    </row>
  </sheetData>
  <mergeCells count="1">
    <mergeCell ref="D100:E10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022E-5890-4963-AA69-B34C8097F7B8}">
  <dimension ref="A7:P79"/>
  <sheetViews>
    <sheetView topLeftCell="A62" workbookViewId="0">
      <selection activeCell="E81" sqref="E81"/>
    </sheetView>
  </sheetViews>
  <sheetFormatPr defaultRowHeight="14.4" x14ac:dyDescent="0.3"/>
  <cols>
    <col min="2" max="2" width="13.44140625" customWidth="1"/>
    <col min="3" max="3" width="11.6640625" customWidth="1"/>
    <col min="4" max="4" width="14" customWidth="1"/>
  </cols>
  <sheetData>
    <row r="7" spans="1:3" x14ac:dyDescent="0.3">
      <c r="A7" s="1" t="s">
        <v>5</v>
      </c>
    </row>
    <row r="8" spans="1:3" x14ac:dyDescent="0.3">
      <c r="A8" t="s">
        <v>69</v>
      </c>
      <c r="B8" s="20">
        <v>1</v>
      </c>
    </row>
    <row r="9" spans="1:3" x14ac:dyDescent="0.3">
      <c r="A9" t="s">
        <v>70</v>
      </c>
      <c r="B9" s="20">
        <v>0</v>
      </c>
    </row>
    <row r="10" spans="1:3" x14ac:dyDescent="0.3">
      <c r="A10" t="s">
        <v>1</v>
      </c>
      <c r="B10" s="20">
        <v>1</v>
      </c>
    </row>
    <row r="11" spans="1:3" x14ac:dyDescent="0.3">
      <c r="A11" t="s">
        <v>71</v>
      </c>
      <c r="B11" s="20">
        <v>1</v>
      </c>
    </row>
    <row r="12" spans="1:3" x14ac:dyDescent="0.3">
      <c r="A12" t="s">
        <v>72</v>
      </c>
      <c r="B12" s="20">
        <v>0.1</v>
      </c>
    </row>
    <row r="13" spans="1:3" x14ac:dyDescent="0.3">
      <c r="A13" t="s">
        <v>80</v>
      </c>
      <c r="B13" s="20">
        <v>0.1</v>
      </c>
      <c r="C13" t="s">
        <v>81</v>
      </c>
    </row>
    <row r="14" spans="1:3" x14ac:dyDescent="0.3">
      <c r="A14" s="1" t="s">
        <v>75</v>
      </c>
    </row>
    <row r="15" spans="1:3" x14ac:dyDescent="0.3">
      <c r="A15" t="s">
        <v>40</v>
      </c>
      <c r="B15" s="20">
        <v>5</v>
      </c>
      <c r="C15" t="s">
        <v>76</v>
      </c>
    </row>
    <row r="16" spans="1:3" x14ac:dyDescent="0.3">
      <c r="A16" t="s">
        <v>77</v>
      </c>
      <c r="B16">
        <f>B15</f>
        <v>5</v>
      </c>
      <c r="C16" t="s">
        <v>78</v>
      </c>
    </row>
    <row r="17" spans="1:5" x14ac:dyDescent="0.3">
      <c r="A17" t="s">
        <v>79</v>
      </c>
      <c r="B17">
        <f>B10/B15</f>
        <v>0.2</v>
      </c>
    </row>
    <row r="18" spans="1:5" x14ac:dyDescent="0.3">
      <c r="A18" t="s">
        <v>105</v>
      </c>
      <c r="B18">
        <f>B11*B13*B17/B12</f>
        <v>0.20000000000000004</v>
      </c>
    </row>
    <row r="25" spans="1:5" x14ac:dyDescent="0.3">
      <c r="A25" s="1" t="s">
        <v>73</v>
      </c>
    </row>
    <row r="29" spans="1:5" x14ac:dyDescent="0.3">
      <c r="A29" s="12" t="s">
        <v>74</v>
      </c>
    </row>
    <row r="30" spans="1:5" x14ac:dyDescent="0.3">
      <c r="E30" t="s">
        <v>102</v>
      </c>
    </row>
    <row r="41" spans="1:4" ht="43.2" x14ac:dyDescent="0.3">
      <c r="B41" s="13" t="s">
        <v>85</v>
      </c>
      <c r="C41" s="13" t="s">
        <v>86</v>
      </c>
      <c r="D41" s="13" t="s">
        <v>87</v>
      </c>
    </row>
    <row r="42" spans="1:4" x14ac:dyDescent="0.3">
      <c r="A42" t="s">
        <v>82</v>
      </c>
      <c r="B42">
        <f>B12/B17-0.5*B11*B13</f>
        <v>0.45</v>
      </c>
      <c r="C42">
        <f>B12/B17-0.5*B11*B13</f>
        <v>0.45</v>
      </c>
      <c r="D42">
        <v>0</v>
      </c>
    </row>
    <row r="43" spans="1:4" x14ac:dyDescent="0.3">
      <c r="A43" t="s">
        <v>83</v>
      </c>
      <c r="B43">
        <f>B12/B17+0.5*B11*B13</f>
        <v>0.55000000000000004</v>
      </c>
      <c r="C43">
        <v>0</v>
      </c>
      <c r="D43">
        <f>B12/B17+0.5*B11*B13</f>
        <v>0.55000000000000004</v>
      </c>
    </row>
    <row r="44" spans="1:4" x14ac:dyDescent="0.3">
      <c r="A44" t="s">
        <v>84</v>
      </c>
      <c r="B44">
        <f>B42+B43</f>
        <v>1</v>
      </c>
      <c r="C44">
        <f>C42+C43</f>
        <v>0.45</v>
      </c>
      <c r="D44">
        <f>D42+D43</f>
        <v>0.55000000000000004</v>
      </c>
    </row>
    <row r="45" spans="1:4" x14ac:dyDescent="0.3">
      <c r="A45" t="s">
        <v>7</v>
      </c>
      <c r="B45">
        <v>0</v>
      </c>
      <c r="C45">
        <v>0</v>
      </c>
      <c r="D45">
        <v>0</v>
      </c>
    </row>
    <row r="46" spans="1:4" x14ac:dyDescent="0.3">
      <c r="A46" t="s">
        <v>10</v>
      </c>
      <c r="B46">
        <v>0</v>
      </c>
      <c r="C46">
        <v>0</v>
      </c>
      <c r="D46">
        <v>0</v>
      </c>
    </row>
    <row r="47" spans="1:4" x14ac:dyDescent="0.3">
      <c r="A47" t="s">
        <v>45</v>
      </c>
      <c r="B47">
        <v>0</v>
      </c>
      <c r="C47">
        <f>-2*B12/B17-B11*B13</f>
        <v>-1.1000000000000001</v>
      </c>
      <c r="D47">
        <f>-2*B12/B17+B11*B13</f>
        <v>-0.9</v>
      </c>
    </row>
    <row r="48" spans="1:4" x14ac:dyDescent="0.3">
      <c r="A48" t="s">
        <v>46</v>
      </c>
      <c r="B48">
        <v>0</v>
      </c>
      <c r="C48">
        <f>(2*B12/B17+B11*B13)*B8</f>
        <v>1.1000000000000001</v>
      </c>
      <c r="D48">
        <f>(2*B12/B17-B11*B13)*B9</f>
        <v>0</v>
      </c>
    </row>
    <row r="49" spans="1:16" ht="28.8" x14ac:dyDescent="0.3">
      <c r="A49" s="14" t="s">
        <v>88</v>
      </c>
      <c r="B49">
        <f>B44-B45-B47</f>
        <v>1</v>
      </c>
      <c r="C49">
        <f t="shared" ref="C49:D49" si="0">C44-C45-C47</f>
        <v>1.55</v>
      </c>
      <c r="D49">
        <f t="shared" si="0"/>
        <v>1.4500000000000002</v>
      </c>
    </row>
    <row r="50" spans="1:16" ht="43.2" x14ac:dyDescent="0.3">
      <c r="A50" s="14" t="s">
        <v>101</v>
      </c>
      <c r="B50">
        <f>B46+B48</f>
        <v>0</v>
      </c>
      <c r="C50">
        <f t="shared" ref="C50:D50" si="1">C46+C48</f>
        <v>1.1000000000000001</v>
      </c>
      <c r="D50">
        <f t="shared" si="1"/>
        <v>0</v>
      </c>
    </row>
    <row r="51" spans="1:16" x14ac:dyDescent="0.3">
      <c r="A51" s="1" t="s">
        <v>12</v>
      </c>
    </row>
    <row r="52" spans="1:16" x14ac:dyDescent="0.3">
      <c r="A52" s="21" t="s">
        <v>13</v>
      </c>
      <c r="B52" s="8"/>
      <c r="C52" s="8"/>
      <c r="D52" s="8"/>
      <c r="E52" s="8"/>
      <c r="F52" s="8"/>
      <c r="I52" s="16"/>
    </row>
    <row r="53" spans="1:16" x14ac:dyDescent="0.3">
      <c r="A53" s="8" t="s">
        <v>6</v>
      </c>
      <c r="B53" s="15" t="s">
        <v>89</v>
      </c>
      <c r="C53" s="15" t="s">
        <v>90</v>
      </c>
      <c r="D53" s="15" t="s">
        <v>91</v>
      </c>
      <c r="E53" s="15" t="s">
        <v>92</v>
      </c>
      <c r="F53" s="15" t="s">
        <v>93</v>
      </c>
      <c r="I53" s="22" t="s">
        <v>94</v>
      </c>
      <c r="L53" s="23" t="s">
        <v>21</v>
      </c>
      <c r="M53" s="17"/>
      <c r="N53" s="17"/>
      <c r="O53" s="17"/>
      <c r="P53" s="17"/>
    </row>
    <row r="54" spans="1:16" x14ac:dyDescent="0.3">
      <c r="A54" s="8">
        <v>1</v>
      </c>
      <c r="B54" s="8">
        <f>IF(A54=1,$C$49,IF(A54=2,-$B$43,0))</f>
        <v>1.55</v>
      </c>
      <c r="C54" s="8">
        <f>IF(A54=1,-$C$42,IF(A54=2,$B$49,IF(A54=3,-$B$43,0)))</f>
        <v>-0.45</v>
      </c>
      <c r="D54" s="8">
        <f>IF(A54=1,0,IF(A54=2,-$B$42,IF(A54=3,$B$49,IF(A54=4,-$B$43,0))))</f>
        <v>0</v>
      </c>
      <c r="E54" s="8">
        <f>IF(A54=1,0,IF(A54=2,0,IF(A54=3,-$B$42,IF(A54=4,$B$49,IF(A54=5,-$D$43)))))</f>
        <v>0</v>
      </c>
      <c r="F54" s="8">
        <f>IF(A54=1,0,IF(A54=2,0,IF(A54=3,0,IF(A54=4,-$B$42,IF(A54=5,$D$49)))))</f>
        <v>0</v>
      </c>
      <c r="I54" s="16">
        <f>IF(A54=1,$C$50,IF(A54=5,$D$50,0))</f>
        <v>1.1000000000000001</v>
      </c>
      <c r="L54" s="17">
        <f t="array" ref="L54:P58">MINVERSE(B54:F58)</f>
        <v>0.85646359875296563</v>
      </c>
      <c r="M54" s="17">
        <v>0.5954883237583577</v>
      </c>
      <c r="N54" s="17">
        <v>0.38196309876276952</v>
      </c>
      <c r="O54" s="17">
        <v>0.20726064194819718</v>
      </c>
      <c r="P54" s="17">
        <v>6.4322268190819806E-2</v>
      </c>
    </row>
    <row r="55" spans="1:16" x14ac:dyDescent="0.3">
      <c r="A55" s="8">
        <v>2</v>
      </c>
      <c r="B55" s="8">
        <f t="shared" ref="B55:B58" si="2">IF(A55=1,$C$49,IF(A55=2,-$B$43,0))</f>
        <v>-0.55000000000000004</v>
      </c>
      <c r="C55" s="8">
        <f t="shared" ref="C55:C58" si="3">IF(A55=1,-$C$42,IF(A55=2,$B$49,IF(A55=3,-$B$43,0)))</f>
        <v>1</v>
      </c>
      <c r="D55" s="8">
        <f t="shared" ref="D55:D58" si="4">IF(A55=1,0,IF(A55=2,-$B$42,IF(A55=3,$B$49,IF(A55=4,-$B$43,0))))</f>
        <v>-0.45</v>
      </c>
      <c r="E55" s="8">
        <f t="shared" ref="E55:E58" si="5">IF(A55=1,0,IF(A55=2,0,IF(A55=3,-$B$42,IF(A55=4,$B$49,IF(A55=5,-$D$43)))))</f>
        <v>0</v>
      </c>
      <c r="F55" s="8">
        <f t="shared" ref="F55:F58" si="6">IF(A55=1,0,IF(A55=2,0,IF(A55=3,0,IF(A55=4,-$B$42,IF(A55=5,$D$49)))))</f>
        <v>0</v>
      </c>
      <c r="I55" s="16">
        <f t="shared" ref="I55:I58" si="7">IF(A55=1,$C$50,IF(A55=5,$D$50,0))</f>
        <v>0</v>
      </c>
      <c r="L55" s="17">
        <v>0.72781906237132621</v>
      </c>
      <c r="M55" s="17">
        <v>2.0511264485010101</v>
      </c>
      <c r="N55" s="17">
        <v>1.3156506735162061</v>
      </c>
      <c r="O55" s="17">
        <v>0.71389776671045702</v>
      </c>
      <c r="P55" s="17">
        <v>0.22155447932393488</v>
      </c>
    </row>
    <row r="56" spans="1:16" x14ac:dyDescent="0.3">
      <c r="A56" s="8">
        <v>3</v>
      </c>
      <c r="B56" s="8">
        <f t="shared" si="2"/>
        <v>0</v>
      </c>
      <c r="C56" s="8">
        <f t="shared" si="3"/>
        <v>-0.55000000000000004</v>
      </c>
      <c r="D56" s="8">
        <f t="shared" si="4"/>
        <v>1</v>
      </c>
      <c r="E56" s="8">
        <f t="shared" si="5"/>
        <v>-0.45</v>
      </c>
      <c r="F56" s="8">
        <f t="shared" si="6"/>
        <v>0</v>
      </c>
      <c r="I56" s="16">
        <f t="shared" si="7"/>
        <v>0</v>
      </c>
      <c r="L56" s="17">
        <v>0.57058685123821129</v>
      </c>
      <c r="M56" s="17">
        <v>1.6080174898531407</v>
      </c>
      <c r="N56" s="17">
        <v>2.4568243759926287</v>
      </c>
      <c r="O56" s="17">
        <v>1.3331209191976634</v>
      </c>
      <c r="P56" s="17">
        <v>0.41372718181996443</v>
      </c>
    </row>
    <row r="57" spans="1:16" x14ac:dyDescent="0.3">
      <c r="A57" s="8">
        <v>4</v>
      </c>
      <c r="B57" s="8">
        <f t="shared" si="2"/>
        <v>0</v>
      </c>
      <c r="C57" s="8">
        <f t="shared" si="3"/>
        <v>0</v>
      </c>
      <c r="D57" s="8">
        <f t="shared" si="4"/>
        <v>-0.55000000000000004</v>
      </c>
      <c r="E57" s="8">
        <f t="shared" si="5"/>
        <v>1</v>
      </c>
      <c r="F57" s="8">
        <f t="shared" si="6"/>
        <v>-0.45</v>
      </c>
      <c r="I57" s="16">
        <f t="shared" si="7"/>
        <v>0</v>
      </c>
      <c r="L57" s="17">
        <v>0.37841414874218177</v>
      </c>
      <c r="M57" s="17">
        <v>1.0664398737279668</v>
      </c>
      <c r="N57" s="17">
        <v>1.6293700123526997</v>
      </c>
      <c r="O57" s="17">
        <v>2.0899492166820264</v>
      </c>
      <c r="P57" s="17">
        <v>0.64860492931511149</v>
      </c>
    </row>
    <row r="58" spans="1:16" x14ac:dyDescent="0.3">
      <c r="A58" s="8">
        <v>5</v>
      </c>
      <c r="B58" s="8">
        <f t="shared" si="2"/>
        <v>0</v>
      </c>
      <c r="C58" s="8">
        <f t="shared" si="3"/>
        <v>0</v>
      </c>
      <c r="D58" s="8">
        <f t="shared" si="4"/>
        <v>0</v>
      </c>
      <c r="E58" s="8">
        <f t="shared" si="5"/>
        <v>-0.55000000000000004</v>
      </c>
      <c r="F58" s="8">
        <f t="shared" si="6"/>
        <v>1.4500000000000002</v>
      </c>
      <c r="I58" s="16">
        <f t="shared" si="7"/>
        <v>0</v>
      </c>
      <c r="L58" s="17">
        <v>0.14353640124703446</v>
      </c>
      <c r="M58" s="17">
        <v>0.40451167624164253</v>
      </c>
      <c r="N58" s="17">
        <v>0.61803690123723087</v>
      </c>
      <c r="O58" s="17">
        <v>0.79273935805180307</v>
      </c>
      <c r="P58" s="17">
        <v>0.93567773180918012</v>
      </c>
    </row>
    <row r="60" spans="1:16" x14ac:dyDescent="0.3">
      <c r="A60" s="1" t="s">
        <v>14</v>
      </c>
    </row>
    <row r="61" spans="1:16" x14ac:dyDescent="0.3">
      <c r="A61" s="18" t="s">
        <v>27</v>
      </c>
      <c r="B61" s="18" t="s">
        <v>95</v>
      </c>
    </row>
    <row r="62" spans="1:16" x14ac:dyDescent="0.3">
      <c r="A62" s="18">
        <v>0</v>
      </c>
      <c r="B62" s="18">
        <f>B8</f>
        <v>1</v>
      </c>
    </row>
    <row r="63" spans="1:16" x14ac:dyDescent="0.3">
      <c r="A63" s="18">
        <f>A62+B17/2</f>
        <v>0.1</v>
      </c>
      <c r="B63" s="18">
        <f t="array" ref="B63:B67">MMULT(L54:P58,I54:I58)</f>
        <v>0.9421099586282623</v>
      </c>
    </row>
    <row r="64" spans="1:16" x14ac:dyDescent="0.3">
      <c r="A64" s="18">
        <f>A63+$B$17</f>
        <v>0.30000000000000004</v>
      </c>
      <c r="B64" s="18">
        <v>0.80060096860845886</v>
      </c>
    </row>
    <row r="65" spans="1:4" x14ac:dyDescent="0.3">
      <c r="A65" s="18">
        <f t="shared" ref="A65:A66" si="8">A64+$B$17</f>
        <v>0.5</v>
      </c>
      <c r="B65" s="18">
        <v>0.62764553636203246</v>
      </c>
    </row>
    <row r="66" spans="1:4" x14ac:dyDescent="0.3">
      <c r="A66" s="18">
        <f t="shared" si="8"/>
        <v>0.7</v>
      </c>
      <c r="B66" s="18">
        <v>0.41625556361639998</v>
      </c>
    </row>
    <row r="67" spans="1:4" x14ac:dyDescent="0.3">
      <c r="A67" s="18">
        <f>A66+$B$17</f>
        <v>0.89999999999999991</v>
      </c>
      <c r="B67" s="18">
        <v>0.15789004137173793</v>
      </c>
    </row>
    <row r="68" spans="1:4" x14ac:dyDescent="0.3">
      <c r="A68" s="18">
        <f>A67+B17/2</f>
        <v>0.99999999999999989</v>
      </c>
      <c r="B68" s="18">
        <v>0</v>
      </c>
    </row>
    <row r="71" spans="1:4" x14ac:dyDescent="0.3">
      <c r="A71" s="1" t="s">
        <v>96</v>
      </c>
    </row>
    <row r="72" spans="1:4" x14ac:dyDescent="0.3">
      <c r="A72" s="1" t="s">
        <v>27</v>
      </c>
      <c r="B72" s="1" t="s">
        <v>97</v>
      </c>
      <c r="C72" s="1" t="s">
        <v>98</v>
      </c>
      <c r="D72" s="1" t="s">
        <v>99</v>
      </c>
    </row>
    <row r="73" spans="1:4" x14ac:dyDescent="0.3">
      <c r="A73">
        <v>0</v>
      </c>
      <c r="B73">
        <f>$B$8+($B$9-$B$8)*((EXP($B$11*$B$13*A73/$B$12)-1)/(EXP($B$11*$B$13*$B$10/$B$12)-1))</f>
        <v>1</v>
      </c>
      <c r="C73">
        <f>B62</f>
        <v>1</v>
      </c>
      <c r="D73">
        <f>100*ABS((B73-C73)/B73)</f>
        <v>0</v>
      </c>
    </row>
    <row r="74" spans="1:4" x14ac:dyDescent="0.3">
      <c r="A74">
        <v>0.1</v>
      </c>
      <c r="B74">
        <f t="shared" ref="B74:B79" si="9">$B$8+($B$9-$B$8)*((EXP($B$11*$B$13*A74/$B$12)-1)/(EXP($B$11*$B$13*$B$10/$B$12)-1))</f>
        <v>0.9387929754399108</v>
      </c>
      <c r="C74">
        <f t="shared" ref="C74:C79" si="10">B63</f>
        <v>0.9421099586282623</v>
      </c>
      <c r="D74" s="19">
        <f t="shared" ref="D74:D78" si="11">100*ABS((B74-C74)/B74)</f>
        <v>0.35332424454893108</v>
      </c>
    </row>
    <row r="75" spans="1:4" x14ac:dyDescent="0.3">
      <c r="A75">
        <v>0.30000000000000004</v>
      </c>
      <c r="B75">
        <f t="shared" si="9"/>
        <v>0.79639032329768833</v>
      </c>
      <c r="C75">
        <f t="shared" si="10"/>
        <v>0.80060096860845886</v>
      </c>
      <c r="D75" s="19">
        <f t="shared" si="11"/>
        <v>0.52871628240472812</v>
      </c>
    </row>
    <row r="76" spans="1:4" x14ac:dyDescent="0.3">
      <c r="A76">
        <v>0.5</v>
      </c>
      <c r="B76">
        <f t="shared" si="9"/>
        <v>0.62245933120185448</v>
      </c>
      <c r="C76">
        <f t="shared" si="10"/>
        <v>0.62764553636203246</v>
      </c>
      <c r="D76" s="19">
        <f t="shared" si="11"/>
        <v>0.83317975973857972</v>
      </c>
    </row>
    <row r="77" spans="1:4" x14ac:dyDescent="0.3">
      <c r="A77">
        <v>0.7</v>
      </c>
      <c r="B77">
        <f t="shared" si="9"/>
        <v>0.4100195377264686</v>
      </c>
      <c r="C77">
        <f t="shared" si="10"/>
        <v>0.41625556361639998</v>
      </c>
      <c r="D77" s="19">
        <f t="shared" si="11"/>
        <v>1.5209094484886596</v>
      </c>
    </row>
    <row r="78" spans="1:4" x14ac:dyDescent="0.3">
      <c r="A78">
        <v>0.89999999999999991</v>
      </c>
      <c r="B78">
        <f t="shared" si="9"/>
        <v>0.15054498803265515</v>
      </c>
      <c r="C78">
        <f t="shared" si="10"/>
        <v>0.15789004137173793</v>
      </c>
      <c r="D78" s="19">
        <f t="shared" si="11"/>
        <v>4.878975670375385</v>
      </c>
    </row>
    <row r="79" spans="1:4" x14ac:dyDescent="0.3">
      <c r="A79">
        <v>0.99999999999999989</v>
      </c>
      <c r="B79">
        <f t="shared" si="9"/>
        <v>0</v>
      </c>
      <c r="C79">
        <f t="shared" si="10"/>
        <v>0</v>
      </c>
      <c r="D79">
        <v>0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876F-1865-4BB4-8073-F86D24589230}">
  <dimension ref="A7:P79"/>
  <sheetViews>
    <sheetView topLeftCell="A40" workbookViewId="0">
      <selection activeCell="C44" sqref="C44"/>
    </sheetView>
  </sheetViews>
  <sheetFormatPr defaultRowHeight="14.4" x14ac:dyDescent="0.3"/>
  <cols>
    <col min="2" max="2" width="13.44140625" customWidth="1"/>
    <col min="3" max="3" width="11.6640625" customWidth="1"/>
    <col min="4" max="4" width="14" customWidth="1"/>
  </cols>
  <sheetData>
    <row r="7" spans="1:3" x14ac:dyDescent="0.3">
      <c r="A7" s="1" t="s">
        <v>5</v>
      </c>
    </row>
    <row r="8" spans="1:3" x14ac:dyDescent="0.3">
      <c r="A8" t="s">
        <v>69</v>
      </c>
      <c r="B8" s="20">
        <v>1</v>
      </c>
    </row>
    <row r="9" spans="1:3" x14ac:dyDescent="0.3">
      <c r="A9" t="s">
        <v>70</v>
      </c>
      <c r="B9" s="20">
        <v>0</v>
      </c>
    </row>
    <row r="10" spans="1:3" x14ac:dyDescent="0.3">
      <c r="A10" t="s">
        <v>1</v>
      </c>
      <c r="B10" s="20">
        <v>1</v>
      </c>
    </row>
    <row r="11" spans="1:3" x14ac:dyDescent="0.3">
      <c r="A11" t="s">
        <v>71</v>
      </c>
      <c r="B11" s="20">
        <v>1</v>
      </c>
    </row>
    <row r="12" spans="1:3" x14ac:dyDescent="0.3">
      <c r="A12" t="s">
        <v>72</v>
      </c>
      <c r="B12" s="20">
        <v>0.1</v>
      </c>
    </row>
    <row r="13" spans="1:3" x14ac:dyDescent="0.3">
      <c r="A13" t="s">
        <v>80</v>
      </c>
      <c r="B13" s="20">
        <v>2.5</v>
      </c>
      <c r="C13" t="s">
        <v>81</v>
      </c>
    </row>
    <row r="14" spans="1:3" x14ac:dyDescent="0.3">
      <c r="A14" s="1" t="s">
        <v>75</v>
      </c>
    </row>
    <row r="15" spans="1:3" x14ac:dyDescent="0.3">
      <c r="A15" t="s">
        <v>40</v>
      </c>
      <c r="B15" s="20">
        <v>5</v>
      </c>
      <c r="C15" t="s">
        <v>76</v>
      </c>
    </row>
    <row r="16" spans="1:3" x14ac:dyDescent="0.3">
      <c r="A16" t="s">
        <v>77</v>
      </c>
      <c r="B16">
        <f>B15</f>
        <v>5</v>
      </c>
      <c r="C16" t="s">
        <v>78</v>
      </c>
    </row>
    <row r="17" spans="1:5" x14ac:dyDescent="0.3">
      <c r="A17" t="s">
        <v>79</v>
      </c>
      <c r="B17">
        <f>B10/B15</f>
        <v>0.2</v>
      </c>
    </row>
    <row r="18" spans="1:5" x14ac:dyDescent="0.3">
      <c r="A18" t="s">
        <v>105</v>
      </c>
      <c r="B18">
        <f>B11*B13*B17/B12</f>
        <v>5</v>
      </c>
    </row>
    <row r="25" spans="1:5" x14ac:dyDescent="0.3">
      <c r="A25" s="1" t="s">
        <v>73</v>
      </c>
    </row>
    <row r="29" spans="1:5" x14ac:dyDescent="0.3">
      <c r="A29" s="12" t="s">
        <v>74</v>
      </c>
    </row>
    <row r="30" spans="1:5" x14ac:dyDescent="0.3">
      <c r="E30" t="s">
        <v>102</v>
      </c>
    </row>
    <row r="41" spans="1:4" ht="43.2" x14ac:dyDescent="0.3">
      <c r="B41" s="13" t="s">
        <v>85</v>
      </c>
      <c r="C41" s="13" t="s">
        <v>86</v>
      </c>
      <c r="D41" s="13" t="s">
        <v>87</v>
      </c>
    </row>
    <row r="42" spans="1:4" x14ac:dyDescent="0.3">
      <c r="A42" t="s">
        <v>82</v>
      </c>
      <c r="B42">
        <f>B12/B17-0.5*B11*B13</f>
        <v>-0.75</v>
      </c>
      <c r="C42">
        <f>B12/B17-0.5*B11*B13</f>
        <v>-0.75</v>
      </c>
      <c r="D42">
        <v>0</v>
      </c>
    </row>
    <row r="43" spans="1:4" x14ac:dyDescent="0.3">
      <c r="A43" t="s">
        <v>83</v>
      </c>
      <c r="B43">
        <f>B12/B17+0.5*B11*B13</f>
        <v>1.75</v>
      </c>
      <c r="C43">
        <v>0</v>
      </c>
      <c r="D43">
        <f>B12/B17+0.5*B11*B13</f>
        <v>1.75</v>
      </c>
    </row>
    <row r="44" spans="1:4" x14ac:dyDescent="0.3">
      <c r="A44" t="s">
        <v>84</v>
      </c>
      <c r="B44">
        <f>B42+B43</f>
        <v>1</v>
      </c>
      <c r="C44">
        <f>C42+C43</f>
        <v>-0.75</v>
      </c>
      <c r="D44">
        <f>D42+D43</f>
        <v>1.75</v>
      </c>
    </row>
    <row r="45" spans="1:4" x14ac:dyDescent="0.3">
      <c r="A45" t="s">
        <v>7</v>
      </c>
      <c r="B45">
        <v>0</v>
      </c>
      <c r="C45">
        <v>0</v>
      </c>
      <c r="D45">
        <v>0</v>
      </c>
    </row>
    <row r="46" spans="1:4" x14ac:dyDescent="0.3">
      <c r="A46" t="s">
        <v>10</v>
      </c>
      <c r="B46">
        <v>0</v>
      </c>
      <c r="C46">
        <v>0</v>
      </c>
      <c r="D46">
        <v>0</v>
      </c>
    </row>
    <row r="47" spans="1:4" x14ac:dyDescent="0.3">
      <c r="A47" t="s">
        <v>45</v>
      </c>
      <c r="B47">
        <v>0</v>
      </c>
      <c r="C47">
        <f>-2*B12/B17-B11*B13</f>
        <v>-3.5</v>
      </c>
      <c r="D47">
        <f>-2*B12/B17+B11*B13</f>
        <v>1.5</v>
      </c>
    </row>
    <row r="48" spans="1:4" x14ac:dyDescent="0.3">
      <c r="A48" t="s">
        <v>46</v>
      </c>
      <c r="B48">
        <v>0</v>
      </c>
      <c r="C48">
        <f>(2*B12/B17+B11*B13)*B8</f>
        <v>3.5</v>
      </c>
      <c r="D48">
        <f>(2*B12/B17-B11*B13)*B9</f>
        <v>0</v>
      </c>
    </row>
    <row r="49" spans="1:16" ht="28.8" x14ac:dyDescent="0.3">
      <c r="A49" s="14" t="s">
        <v>88</v>
      </c>
      <c r="B49">
        <f>B44-B45-B47</f>
        <v>1</v>
      </c>
      <c r="C49">
        <f t="shared" ref="C49:D49" si="0">C44-C45-C47</f>
        <v>2.75</v>
      </c>
      <c r="D49">
        <f t="shared" si="0"/>
        <v>0.25</v>
      </c>
    </row>
    <row r="50" spans="1:16" ht="43.2" x14ac:dyDescent="0.3">
      <c r="A50" s="14" t="s">
        <v>101</v>
      </c>
      <c r="B50">
        <f>B46+B48</f>
        <v>0</v>
      </c>
      <c r="C50">
        <f t="shared" ref="C50:D50" si="1">C46+C48</f>
        <v>3.5</v>
      </c>
      <c r="D50">
        <f t="shared" si="1"/>
        <v>0</v>
      </c>
    </row>
    <row r="51" spans="1:16" x14ac:dyDescent="0.3">
      <c r="A51" s="1" t="s">
        <v>12</v>
      </c>
    </row>
    <row r="52" spans="1:16" x14ac:dyDescent="0.3">
      <c r="A52" s="21" t="s">
        <v>13</v>
      </c>
      <c r="B52" s="8"/>
      <c r="C52" s="8"/>
      <c r="D52" s="8"/>
      <c r="E52" s="8"/>
      <c r="F52" s="8"/>
      <c r="I52" s="16"/>
    </row>
    <row r="53" spans="1:16" x14ac:dyDescent="0.3">
      <c r="A53" s="8" t="s">
        <v>6</v>
      </c>
      <c r="B53" s="15" t="s">
        <v>89</v>
      </c>
      <c r="C53" s="15" t="s">
        <v>90</v>
      </c>
      <c r="D53" s="15" t="s">
        <v>91</v>
      </c>
      <c r="E53" s="15" t="s">
        <v>92</v>
      </c>
      <c r="F53" s="15" t="s">
        <v>93</v>
      </c>
      <c r="I53" s="22" t="s">
        <v>94</v>
      </c>
      <c r="L53" s="23" t="s">
        <v>21</v>
      </c>
      <c r="M53" s="17"/>
      <c r="N53" s="17"/>
      <c r="O53" s="17"/>
      <c r="P53" s="17"/>
    </row>
    <row r="54" spans="1:16" x14ac:dyDescent="0.3">
      <c r="A54" s="8">
        <v>1</v>
      </c>
      <c r="B54" s="8">
        <f>IF(A54=1,$C$49,IF(A54=2,-$B$43,0))</f>
        <v>2.75</v>
      </c>
      <c r="C54" s="8">
        <f>IF(A54=1,-$C$42,IF(A54=2,$B$49,IF(A54=3,-$B$43,0)))</f>
        <v>0.75</v>
      </c>
      <c r="D54" s="8">
        <f>IF(A54=1,0,IF(A54=2,-$B$42,IF(A54=3,$B$49,IF(A54=4,-$B$43,0))))</f>
        <v>0</v>
      </c>
      <c r="E54" s="8">
        <f>IF(A54=1,0,IF(A54=2,0,IF(A54=3,-$B$42,IF(A54=4,$B$49,IF(A54=5,-$D$43)))))</f>
        <v>0</v>
      </c>
      <c r="F54" s="8">
        <f>IF(A54=1,0,IF(A54=2,0,IF(A54=3,0,IF(A54=4,-$B$42,IF(A54=5,$D$49)))))</f>
        <v>0</v>
      </c>
      <c r="I54" s="16">
        <f>IF(A54=1,$C$50,IF(A54=5,$D$50,0))</f>
        <v>3.5</v>
      </c>
      <c r="L54" s="17">
        <f t="array" ref="L54:P58">MINVERSE(B54:F58)</f>
        <v>0.29589442815249267</v>
      </c>
      <c r="M54" s="17">
        <v>-0.1064516129032258</v>
      </c>
      <c r="N54" s="17">
        <v>6.5982404692082108E-2</v>
      </c>
      <c r="O54" s="17">
        <v>-7.917888563049872E-3</v>
      </c>
      <c r="P54" s="17">
        <v>2.3753665689149554E-2</v>
      </c>
    </row>
    <row r="55" spans="1:16" x14ac:dyDescent="0.3">
      <c r="A55" s="8">
        <v>2</v>
      </c>
      <c r="B55" s="8">
        <f t="shared" ref="B55:B58" si="2">IF(A55=1,$C$49,IF(A55=2,-$B$43,0))</f>
        <v>-1.75</v>
      </c>
      <c r="C55" s="8">
        <f t="shared" ref="C55:C58" si="3">IF(A55=1,-$C$42,IF(A55=2,$B$49,IF(A55=3,-$B$43,0)))</f>
        <v>1</v>
      </c>
      <c r="D55" s="8">
        <f t="shared" ref="D55:D58" si="4">IF(A55=1,0,IF(A55=2,-$B$42,IF(A55=3,$B$49,IF(A55=4,-$B$43,0))))</f>
        <v>0.75</v>
      </c>
      <c r="E55" s="8">
        <f t="shared" ref="E55:E58" si="5">IF(A55=1,0,IF(A55=2,0,IF(A55=3,-$B$42,IF(A55=4,$B$49,IF(A55=5,-$D$43)))))</f>
        <v>0</v>
      </c>
      <c r="F55" s="8">
        <f t="shared" ref="F55:F58" si="6">IF(A55=1,0,IF(A55=2,0,IF(A55=3,0,IF(A55=4,-$B$42,IF(A55=5,$D$49)))))</f>
        <v>0</v>
      </c>
      <c r="I55" s="16">
        <f t="shared" ref="I55:I58" si="7">IF(A55=1,$C$50,IF(A55=5,$D$50,0))</f>
        <v>0</v>
      </c>
      <c r="L55" s="17">
        <v>0.24838709677419354</v>
      </c>
      <c r="M55" s="17">
        <v>0.39032258064516129</v>
      </c>
      <c r="N55" s="17">
        <v>-0.24193548387096772</v>
      </c>
      <c r="O55" s="17">
        <v>2.90322580645162E-2</v>
      </c>
      <c r="P55" s="17">
        <v>-8.7096774193548374E-2</v>
      </c>
    </row>
    <row r="56" spans="1:16" x14ac:dyDescent="0.3">
      <c r="A56" s="8">
        <v>3</v>
      </c>
      <c r="B56" s="8">
        <f t="shared" si="2"/>
        <v>0</v>
      </c>
      <c r="C56" s="8">
        <f t="shared" si="3"/>
        <v>-1.75</v>
      </c>
      <c r="D56" s="8">
        <f t="shared" si="4"/>
        <v>1</v>
      </c>
      <c r="E56" s="8">
        <f t="shared" si="5"/>
        <v>0.75</v>
      </c>
      <c r="F56" s="8">
        <f t="shared" si="6"/>
        <v>0</v>
      </c>
      <c r="I56" s="16">
        <f t="shared" si="7"/>
        <v>0</v>
      </c>
      <c r="L56" s="17">
        <v>0.35923753665689151</v>
      </c>
      <c r="M56" s="17">
        <v>0.56451612903225812</v>
      </c>
      <c r="N56" s="17">
        <v>0.47653958944281527</v>
      </c>
      <c r="O56" s="17">
        <v>-5.7184750733137717E-2</v>
      </c>
      <c r="P56" s="17">
        <v>0.1715542521994135</v>
      </c>
    </row>
    <row r="57" spans="1:16" x14ac:dyDescent="0.3">
      <c r="A57" s="8">
        <v>4</v>
      </c>
      <c r="B57" s="8">
        <f t="shared" si="2"/>
        <v>0</v>
      </c>
      <c r="C57" s="8">
        <f t="shared" si="3"/>
        <v>0</v>
      </c>
      <c r="D57" s="8">
        <f t="shared" si="4"/>
        <v>-1.75</v>
      </c>
      <c r="E57" s="8">
        <f t="shared" si="5"/>
        <v>1</v>
      </c>
      <c r="F57" s="8">
        <f t="shared" si="6"/>
        <v>0.75</v>
      </c>
      <c r="I57" s="16">
        <f t="shared" si="7"/>
        <v>0</v>
      </c>
      <c r="L57" s="17">
        <v>0.10058651026392962</v>
      </c>
      <c r="M57" s="17">
        <v>0.15806451612903225</v>
      </c>
      <c r="N57" s="17">
        <v>0.13343108504398829</v>
      </c>
      <c r="O57" s="17">
        <v>0.14398826979472143</v>
      </c>
      <c r="P57" s="17">
        <v>-0.43196480938416421</v>
      </c>
    </row>
    <row r="58" spans="1:16" x14ac:dyDescent="0.3">
      <c r="A58" s="8">
        <v>5</v>
      </c>
      <c r="B58" s="8">
        <f t="shared" si="2"/>
        <v>0</v>
      </c>
      <c r="C58" s="8">
        <f t="shared" si="3"/>
        <v>0</v>
      </c>
      <c r="D58" s="8">
        <f t="shared" si="4"/>
        <v>0</v>
      </c>
      <c r="E58" s="8">
        <f t="shared" si="5"/>
        <v>-1.75</v>
      </c>
      <c r="F58" s="8">
        <f t="shared" si="6"/>
        <v>0.25</v>
      </c>
      <c r="I58" s="16">
        <f t="shared" si="7"/>
        <v>0</v>
      </c>
      <c r="L58" s="17">
        <v>0.70410557184750733</v>
      </c>
      <c r="M58" s="17">
        <v>1.1064516129032258</v>
      </c>
      <c r="N58" s="17">
        <v>0.93401759530791795</v>
      </c>
      <c r="O58" s="17">
        <v>1.00791788856305</v>
      </c>
      <c r="P58" s="17">
        <v>0.97624633431085051</v>
      </c>
    </row>
    <row r="60" spans="1:16" x14ac:dyDescent="0.3">
      <c r="A60" s="1" t="s">
        <v>14</v>
      </c>
    </row>
    <row r="61" spans="1:16" x14ac:dyDescent="0.3">
      <c r="A61" s="18" t="s">
        <v>27</v>
      </c>
      <c r="B61" s="18" t="s">
        <v>95</v>
      </c>
    </row>
    <row r="62" spans="1:16" x14ac:dyDescent="0.3">
      <c r="A62" s="18">
        <v>0</v>
      </c>
      <c r="B62" s="18">
        <f>B8</f>
        <v>1</v>
      </c>
    </row>
    <row r="63" spans="1:16" x14ac:dyDescent="0.3">
      <c r="A63" s="18">
        <f>A62+B17/2</f>
        <v>0.1</v>
      </c>
      <c r="B63" s="18">
        <f t="array" ref="B63:B67">MMULT(L54:P58,I54:I58)</f>
        <v>1.0356304985337244</v>
      </c>
    </row>
    <row r="64" spans="1:16" x14ac:dyDescent="0.3">
      <c r="A64" s="18">
        <f>A63+$B$17</f>
        <v>0.30000000000000004</v>
      </c>
      <c r="B64" s="18">
        <v>0.86935483870967745</v>
      </c>
    </row>
    <row r="65" spans="1:4" x14ac:dyDescent="0.3">
      <c r="A65" s="18">
        <f t="shared" ref="A65:A66" si="8">A64+$B$17</f>
        <v>0.5</v>
      </c>
      <c r="B65" s="18">
        <v>1.2573313782991202</v>
      </c>
    </row>
    <row r="66" spans="1:4" x14ac:dyDescent="0.3">
      <c r="A66" s="18">
        <f t="shared" si="8"/>
        <v>0.7</v>
      </c>
      <c r="B66" s="18">
        <v>0.35205278592375366</v>
      </c>
    </row>
    <row r="67" spans="1:4" x14ac:dyDescent="0.3">
      <c r="A67" s="18">
        <f>A66+$B$17</f>
        <v>0.89999999999999991</v>
      </c>
      <c r="B67" s="18">
        <v>2.4643695014662756</v>
      </c>
    </row>
    <row r="68" spans="1:4" x14ac:dyDescent="0.3">
      <c r="A68" s="18">
        <f>A67+B17/2</f>
        <v>0.99999999999999989</v>
      </c>
      <c r="B68" s="18">
        <v>0</v>
      </c>
    </row>
    <row r="71" spans="1:4" x14ac:dyDescent="0.3">
      <c r="A71" s="1" t="s">
        <v>96</v>
      </c>
    </row>
    <row r="72" spans="1:4" x14ac:dyDescent="0.3">
      <c r="A72" s="1" t="s">
        <v>27</v>
      </c>
      <c r="B72" s="1" t="s">
        <v>97</v>
      </c>
      <c r="C72" s="1" t="s">
        <v>98</v>
      </c>
      <c r="D72" s="1" t="s">
        <v>99</v>
      </c>
    </row>
    <row r="73" spans="1:4" x14ac:dyDescent="0.3">
      <c r="A73">
        <v>0</v>
      </c>
      <c r="B73">
        <f>$B$8+($B$9-$B$8)*((EXP($B$11*$B$13*A73/$B$12)-1)/(EXP($B$11*$B$13*$B$10/$B$12)-1))</f>
        <v>1</v>
      </c>
      <c r="C73">
        <f>B62</f>
        <v>1</v>
      </c>
      <c r="D73">
        <f>100*ABS((B73-C73)/B73)</f>
        <v>0</v>
      </c>
    </row>
    <row r="74" spans="1:4" x14ac:dyDescent="0.3">
      <c r="A74">
        <v>0.1</v>
      </c>
      <c r="B74">
        <f t="shared" ref="B74:B79" si="9">$B$8+($B$9-$B$8)*((EXP($B$11*$B$13*A74/$B$12)-1)/(EXP($B$11*$B$13*$B$10/$B$12)-1))</f>
        <v>0.99999999984469812</v>
      </c>
      <c r="C74">
        <f t="shared" ref="C74:C79" si="10">B63</f>
        <v>1.0356304985337244</v>
      </c>
      <c r="D74" s="19">
        <f t="shared" ref="D74:D78" si="11">100*ABS((B74-C74)/B74)</f>
        <v>3.563049869455972</v>
      </c>
    </row>
    <row r="75" spans="1:4" x14ac:dyDescent="0.3">
      <c r="A75">
        <v>0.30000000000000004</v>
      </c>
      <c r="B75">
        <f t="shared" si="9"/>
        <v>0.99999997490389636</v>
      </c>
      <c r="C75">
        <f t="shared" si="10"/>
        <v>0.86935483870967745</v>
      </c>
      <c r="D75" s="19">
        <f t="shared" si="11"/>
        <v>13.064513947290287</v>
      </c>
    </row>
    <row r="76" spans="1:4" x14ac:dyDescent="0.3">
      <c r="A76">
        <v>0.5</v>
      </c>
      <c r="B76">
        <f t="shared" si="9"/>
        <v>0.99999627336071584</v>
      </c>
      <c r="C76">
        <f t="shared" si="10"/>
        <v>1.2573313782991202</v>
      </c>
      <c r="D76" s="19">
        <f t="shared" si="11"/>
        <v>25.733606393708946</v>
      </c>
    </row>
    <row r="77" spans="1:4" x14ac:dyDescent="0.3">
      <c r="A77">
        <v>0.7</v>
      </c>
      <c r="B77">
        <f t="shared" si="9"/>
        <v>0.99944691564373245</v>
      </c>
      <c r="C77">
        <f t="shared" si="10"/>
        <v>0.35205278592375366</v>
      </c>
      <c r="D77" s="19">
        <f t="shared" si="11"/>
        <v>64.77523914344161</v>
      </c>
    </row>
    <row r="78" spans="1:4" x14ac:dyDescent="0.3">
      <c r="A78">
        <v>0.89999999999999991</v>
      </c>
      <c r="B78">
        <f t="shared" si="9"/>
        <v>0.91791500138884918</v>
      </c>
      <c r="C78">
        <f t="shared" si="10"/>
        <v>2.4643695014662756</v>
      </c>
      <c r="D78" s="19">
        <f t="shared" si="11"/>
        <v>168.47469512292173</v>
      </c>
    </row>
    <row r="79" spans="1:4" x14ac:dyDescent="0.3">
      <c r="A79">
        <v>0.99999999999999989</v>
      </c>
      <c r="B79">
        <f t="shared" si="9"/>
        <v>7.2164496600635175E-15</v>
      </c>
      <c r="C79">
        <f t="shared" si="10"/>
        <v>0</v>
      </c>
      <c r="D7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20D3-C800-4B87-B6D8-E56EF8E08C48}">
  <dimension ref="A7:P79"/>
  <sheetViews>
    <sheetView topLeftCell="A59" workbookViewId="0">
      <selection activeCell="C44" sqref="C44"/>
    </sheetView>
  </sheetViews>
  <sheetFormatPr defaultRowHeight="14.4" x14ac:dyDescent="0.3"/>
  <cols>
    <col min="1" max="1" width="10" customWidth="1"/>
    <col min="2" max="2" width="13.44140625" customWidth="1"/>
    <col min="3" max="3" width="11.6640625" customWidth="1"/>
    <col min="4" max="4" width="14" customWidth="1"/>
  </cols>
  <sheetData>
    <row r="7" spans="1:3" x14ac:dyDescent="0.3">
      <c r="A7" s="1" t="s">
        <v>5</v>
      </c>
    </row>
    <row r="8" spans="1:3" x14ac:dyDescent="0.3">
      <c r="A8" t="s">
        <v>69</v>
      </c>
      <c r="B8" s="20">
        <v>1</v>
      </c>
    </row>
    <row r="9" spans="1:3" x14ac:dyDescent="0.3">
      <c r="A9" t="s">
        <v>70</v>
      </c>
      <c r="B9" s="20">
        <v>0</v>
      </c>
    </row>
    <row r="10" spans="1:3" x14ac:dyDescent="0.3">
      <c r="A10" t="s">
        <v>1</v>
      </c>
      <c r="B10" s="20">
        <v>1</v>
      </c>
    </row>
    <row r="11" spans="1:3" x14ac:dyDescent="0.3">
      <c r="A11" t="s">
        <v>71</v>
      </c>
      <c r="B11" s="20">
        <v>1</v>
      </c>
    </row>
    <row r="12" spans="1:3" x14ac:dyDescent="0.3">
      <c r="A12" t="s">
        <v>72</v>
      </c>
      <c r="B12" s="20">
        <v>0.1</v>
      </c>
    </row>
    <row r="13" spans="1:3" x14ac:dyDescent="0.3">
      <c r="A13" t="s">
        <v>80</v>
      </c>
      <c r="B13" s="20">
        <v>0.1</v>
      </c>
      <c r="C13" t="s">
        <v>81</v>
      </c>
    </row>
    <row r="14" spans="1:3" x14ac:dyDescent="0.3">
      <c r="A14" s="1" t="s">
        <v>75</v>
      </c>
    </row>
    <row r="15" spans="1:3" x14ac:dyDescent="0.3">
      <c r="A15" t="s">
        <v>40</v>
      </c>
      <c r="B15" s="20">
        <v>5</v>
      </c>
      <c r="C15" t="s">
        <v>76</v>
      </c>
    </row>
    <row r="16" spans="1:3" x14ac:dyDescent="0.3">
      <c r="A16" t="s">
        <v>77</v>
      </c>
      <c r="B16">
        <f>B15</f>
        <v>5</v>
      </c>
      <c r="C16" t="s">
        <v>78</v>
      </c>
    </row>
    <row r="17" spans="1:5" x14ac:dyDescent="0.3">
      <c r="A17" t="s">
        <v>79</v>
      </c>
      <c r="B17">
        <f>B10/B15</f>
        <v>0.2</v>
      </c>
    </row>
    <row r="25" spans="1:5" x14ac:dyDescent="0.3">
      <c r="A25" s="1" t="s">
        <v>73</v>
      </c>
    </row>
    <row r="29" spans="1:5" x14ac:dyDescent="0.3">
      <c r="A29" s="12" t="s">
        <v>100</v>
      </c>
    </row>
    <row r="30" spans="1:5" x14ac:dyDescent="0.3">
      <c r="E30" t="s">
        <v>103</v>
      </c>
    </row>
    <row r="41" spans="1:4" ht="43.2" x14ac:dyDescent="0.3">
      <c r="B41" s="13" t="s">
        <v>85</v>
      </c>
      <c r="C41" s="13" t="s">
        <v>86</v>
      </c>
      <c r="D41" s="13" t="s">
        <v>87</v>
      </c>
    </row>
    <row r="42" spans="1:4" x14ac:dyDescent="0.3">
      <c r="A42" t="s">
        <v>82</v>
      </c>
      <c r="B42">
        <f>MAX(ABS(0.5*B11*B13),B12/B17)-0.5*B11*B13</f>
        <v>0.45</v>
      </c>
      <c r="C42">
        <f>B42</f>
        <v>0.45</v>
      </c>
      <c r="D42">
        <v>0</v>
      </c>
    </row>
    <row r="43" spans="1:4" x14ac:dyDescent="0.3">
      <c r="A43" t="s">
        <v>83</v>
      </c>
      <c r="B43">
        <f>MAX(ABS(0.5*B11*B13),B12/B17)+0.5*B11*B13</f>
        <v>0.55000000000000004</v>
      </c>
      <c r="C43">
        <v>0</v>
      </c>
      <c r="D43">
        <f>B43</f>
        <v>0.55000000000000004</v>
      </c>
    </row>
    <row r="44" spans="1:4" x14ac:dyDescent="0.3">
      <c r="A44" t="s">
        <v>84</v>
      </c>
      <c r="B44">
        <f>B42+B43</f>
        <v>1</v>
      </c>
      <c r="C44">
        <f>C42+C43</f>
        <v>0.45</v>
      </c>
      <c r="D44">
        <f>D42+D43</f>
        <v>0.55000000000000004</v>
      </c>
    </row>
    <row r="45" spans="1:4" x14ac:dyDescent="0.3">
      <c r="A45" t="s">
        <v>7</v>
      </c>
      <c r="B45">
        <v>0</v>
      </c>
      <c r="C45">
        <v>0</v>
      </c>
      <c r="D45">
        <v>0</v>
      </c>
    </row>
    <row r="46" spans="1:4" x14ac:dyDescent="0.3">
      <c r="A46" t="s">
        <v>10</v>
      </c>
      <c r="B46">
        <v>0</v>
      </c>
      <c r="C46">
        <v>0</v>
      </c>
      <c r="D46">
        <v>0</v>
      </c>
    </row>
    <row r="47" spans="1:4" x14ac:dyDescent="0.3">
      <c r="A47" t="s">
        <v>45</v>
      </c>
      <c r="B47">
        <v>0</v>
      </c>
      <c r="C47">
        <f>-2*B12/B17-B11*B13</f>
        <v>-1.1000000000000001</v>
      </c>
      <c r="D47">
        <f>-2*B12/B17</f>
        <v>-1</v>
      </c>
    </row>
    <row r="48" spans="1:4" x14ac:dyDescent="0.3">
      <c r="A48" t="s">
        <v>46</v>
      </c>
      <c r="B48">
        <v>0</v>
      </c>
      <c r="C48">
        <f>-C47*B8</f>
        <v>1.1000000000000001</v>
      </c>
      <c r="D48">
        <f>-D47*B9</f>
        <v>0</v>
      </c>
    </row>
    <row r="49" spans="1:16" ht="28.8" x14ac:dyDescent="0.3">
      <c r="A49" s="14" t="s">
        <v>88</v>
      </c>
      <c r="B49">
        <f>B44-B45-B47</f>
        <v>1</v>
      </c>
      <c r="C49">
        <f t="shared" ref="C49:D49" si="0">C44-C45-C47</f>
        <v>1.55</v>
      </c>
      <c r="D49">
        <f t="shared" si="0"/>
        <v>1.55</v>
      </c>
    </row>
    <row r="50" spans="1:16" ht="32.4" customHeight="1" x14ac:dyDescent="0.3">
      <c r="A50" s="14" t="s">
        <v>101</v>
      </c>
      <c r="B50">
        <f>B46+B48</f>
        <v>0</v>
      </c>
      <c r="C50">
        <f t="shared" ref="C50" si="1">C46+C48</f>
        <v>1.1000000000000001</v>
      </c>
      <c r="D50">
        <f>D46+D48</f>
        <v>0</v>
      </c>
    </row>
    <row r="51" spans="1:16" x14ac:dyDescent="0.3">
      <c r="A51" s="1" t="s">
        <v>12</v>
      </c>
    </row>
    <row r="52" spans="1:16" x14ac:dyDescent="0.3">
      <c r="A52" s="21" t="s">
        <v>13</v>
      </c>
      <c r="B52" s="8"/>
      <c r="C52" s="8"/>
      <c r="D52" s="8"/>
      <c r="E52" s="8"/>
      <c r="F52" s="8"/>
      <c r="I52" s="16"/>
    </row>
    <row r="53" spans="1:16" x14ac:dyDescent="0.3">
      <c r="A53" s="8" t="s">
        <v>6</v>
      </c>
      <c r="B53" s="15" t="s">
        <v>89</v>
      </c>
      <c r="C53" s="15" t="s">
        <v>90</v>
      </c>
      <c r="D53" s="15" t="s">
        <v>91</v>
      </c>
      <c r="E53" s="15" t="s">
        <v>92</v>
      </c>
      <c r="F53" s="15" t="s">
        <v>93</v>
      </c>
      <c r="I53" s="22" t="s">
        <v>94</v>
      </c>
      <c r="L53" s="23" t="s">
        <v>21</v>
      </c>
      <c r="M53" s="17"/>
      <c r="N53" s="17"/>
      <c r="O53" s="17"/>
      <c r="P53" s="17"/>
    </row>
    <row r="54" spans="1:16" x14ac:dyDescent="0.3">
      <c r="A54" s="8">
        <v>1</v>
      </c>
      <c r="B54" s="8">
        <f>IF(A54=1,$C$49,IF(A54=2,-$B$43,0))</f>
        <v>1.55</v>
      </c>
      <c r="C54" s="8">
        <f>IF(A54=1,-$C$42,IF(A54=2,$B$49,IF(A54=3,-$B$43,0)))</f>
        <v>-0.45</v>
      </c>
      <c r="D54" s="8">
        <f>IF(A54=1,0,IF(A54=2,-$B$42,IF(A54=3,$B$49,IF(A54=4,-$B$43,0))))</f>
        <v>0</v>
      </c>
      <c r="E54" s="8">
        <f>IF(A54=1,0,IF(A54=2,0,IF(A54=3,-$B$42,IF(A54=4,$B$49,IF(A54=5,-$D$43)))))</f>
        <v>0</v>
      </c>
      <c r="F54" s="8">
        <f>IF(A54=1,0,IF(A54=2,0,IF(A54=3,0,IF(A54=4,-$B$42,IF(A54=5,$D$49)))))</f>
        <v>0</v>
      </c>
      <c r="I54" s="16">
        <f>IF(A54=1,$C$50,IF(A54=5,$D$50,0))</f>
        <v>1.1000000000000001</v>
      </c>
      <c r="L54" s="17">
        <f t="array" ref="L54:P58">MINVERSE(B54:F58)</f>
        <v>0.85561933586203376</v>
      </c>
      <c r="M54" s="17">
        <v>0.59310903742936794</v>
      </c>
      <c r="N54" s="17">
        <v>0.37832788416627755</v>
      </c>
      <c r="O54" s="17">
        <v>0.20259784967829456</v>
      </c>
      <c r="P54" s="17">
        <v>5.8818730551762934E-2</v>
      </c>
    </row>
    <row r="55" spans="1:16" x14ac:dyDescent="0.3">
      <c r="A55" s="8">
        <v>2</v>
      </c>
      <c r="B55" s="8">
        <f t="shared" ref="B55:B58" si="2">IF(A55=1,$C$49,IF(A55=2,-$B$43,0))</f>
        <v>-0.55000000000000004</v>
      </c>
      <c r="C55" s="8">
        <f t="shared" ref="C55:C58" si="3">IF(A55=1,-$C$42,IF(A55=2,$B$49,IF(A55=3,-$B$43,0)))</f>
        <v>1</v>
      </c>
      <c r="D55" s="8">
        <f t="shared" ref="D55:D58" si="4">IF(A55=1,0,IF(A55=2,-$B$42,IF(A55=3,$B$49,IF(A55=4,-$B$43,0))))</f>
        <v>-0.45</v>
      </c>
      <c r="E55" s="8">
        <f t="shared" ref="E55:E58" si="5">IF(A55=1,0,IF(A55=2,0,IF(A55=3,-$B$42,IF(A55=4,$B$49,IF(A55=5,-$D$43)))))</f>
        <v>0</v>
      </c>
      <c r="F55" s="8">
        <f t="shared" ref="F55:F58" si="6">IF(A55=1,0,IF(A55=2,0,IF(A55=3,0,IF(A55=4,-$B$42,IF(A55=5,$D$49)))))</f>
        <v>0</v>
      </c>
      <c r="I55" s="16">
        <f t="shared" ref="I55:I58" si="7">IF(A55=1,$C$50,IF(A55=5,$D$50,0))</f>
        <v>0</v>
      </c>
      <c r="L55" s="17">
        <v>0.72491104574700516</v>
      </c>
      <c r="M55" s="17">
        <v>2.0429311289233785</v>
      </c>
      <c r="N55" s="17">
        <v>1.3031293787949561</v>
      </c>
      <c r="O55" s="17">
        <v>0.69783703778079231</v>
      </c>
      <c r="P55" s="17">
        <v>0.20259784967829456</v>
      </c>
    </row>
    <row r="56" spans="1:16" x14ac:dyDescent="0.3">
      <c r="A56" s="8">
        <v>3</v>
      </c>
      <c r="B56" s="8">
        <f t="shared" si="2"/>
        <v>0</v>
      </c>
      <c r="C56" s="8">
        <f t="shared" si="3"/>
        <v>-0.55000000000000004</v>
      </c>
      <c r="D56" s="8">
        <f t="shared" si="4"/>
        <v>1</v>
      </c>
      <c r="E56" s="8">
        <f t="shared" si="5"/>
        <v>-0.45</v>
      </c>
      <c r="F56" s="8">
        <f t="shared" si="6"/>
        <v>0</v>
      </c>
      <c r="I56" s="16">
        <f t="shared" si="7"/>
        <v>0</v>
      </c>
      <c r="L56" s="17">
        <v>0.56515646893974814</v>
      </c>
      <c r="M56" s="17">
        <v>1.5927136851938355</v>
      </c>
      <c r="N56" s="17">
        <v>2.4334423166744519</v>
      </c>
      <c r="O56" s="17">
        <v>1.3031293787949563</v>
      </c>
      <c r="P56" s="17">
        <v>0.37832788416627761</v>
      </c>
    </row>
    <row r="57" spans="1:16" x14ac:dyDescent="0.3">
      <c r="A57" s="8">
        <v>4</v>
      </c>
      <c r="B57" s="8">
        <f t="shared" si="2"/>
        <v>0</v>
      </c>
      <c r="C57" s="8">
        <f t="shared" si="3"/>
        <v>0</v>
      </c>
      <c r="D57" s="8">
        <f t="shared" si="4"/>
        <v>-0.55000000000000004</v>
      </c>
      <c r="E57" s="8">
        <f t="shared" si="5"/>
        <v>1</v>
      </c>
      <c r="F57" s="8">
        <f t="shared" si="6"/>
        <v>-0.45</v>
      </c>
      <c r="I57" s="16">
        <f t="shared" si="7"/>
        <v>0</v>
      </c>
      <c r="L57" s="17">
        <v>0.36990087506421138</v>
      </c>
      <c r="M57" s="17">
        <v>1.0424479206355048</v>
      </c>
      <c r="N57" s="17">
        <v>1.5927136851938353</v>
      </c>
      <c r="O57" s="17">
        <v>2.0429311289233785</v>
      </c>
      <c r="P57" s="17">
        <v>0.59310903742936794</v>
      </c>
    </row>
    <row r="58" spans="1:16" x14ac:dyDescent="0.3">
      <c r="A58" s="8">
        <v>5</v>
      </c>
      <c r="B58" s="8">
        <f t="shared" si="2"/>
        <v>0</v>
      </c>
      <c r="C58" s="8">
        <f t="shared" si="3"/>
        <v>0</v>
      </c>
      <c r="D58" s="8">
        <f t="shared" si="4"/>
        <v>0</v>
      </c>
      <c r="E58" s="8">
        <f t="shared" si="5"/>
        <v>-0.55000000000000004</v>
      </c>
      <c r="F58" s="8">
        <f t="shared" si="6"/>
        <v>1.55</v>
      </c>
      <c r="I58" s="16">
        <f t="shared" si="7"/>
        <v>0</v>
      </c>
      <c r="L58" s="17">
        <v>0.13125514921633308</v>
      </c>
      <c r="M58" s="17">
        <v>0.36990087506421138</v>
      </c>
      <c r="N58" s="17">
        <v>0.56515646893974802</v>
      </c>
      <c r="O58" s="17">
        <v>0.72491104574700527</v>
      </c>
      <c r="P58" s="17">
        <v>0.85561933586203376</v>
      </c>
    </row>
    <row r="60" spans="1:16" x14ac:dyDescent="0.3">
      <c r="A60" s="1" t="s">
        <v>14</v>
      </c>
    </row>
    <row r="61" spans="1:16" x14ac:dyDescent="0.3">
      <c r="A61" s="18" t="s">
        <v>27</v>
      </c>
      <c r="B61" s="18" t="s">
        <v>95</v>
      </c>
    </row>
    <row r="62" spans="1:16" x14ac:dyDescent="0.3">
      <c r="A62" s="18">
        <v>0</v>
      </c>
      <c r="B62" s="18">
        <f>B8</f>
        <v>1</v>
      </c>
    </row>
    <row r="63" spans="1:16" x14ac:dyDescent="0.3">
      <c r="A63" s="18">
        <f>A62+B17/2</f>
        <v>0.1</v>
      </c>
      <c r="B63" s="18">
        <f t="array" ref="B63:B67">MMULT(L54:P58,I54:I58)</f>
        <v>0.94118126944823721</v>
      </c>
    </row>
    <row r="64" spans="1:16" x14ac:dyDescent="0.3">
      <c r="A64" s="18">
        <f>A63+$B$17</f>
        <v>0.30000000000000004</v>
      </c>
      <c r="B64" s="18">
        <v>0.79740215032170569</v>
      </c>
    </row>
    <row r="65" spans="1:4" x14ac:dyDescent="0.3">
      <c r="A65" s="18">
        <f t="shared" ref="A65:A66" si="8">A64+$B$17</f>
        <v>0.5</v>
      </c>
      <c r="B65" s="18">
        <v>0.62167211583372295</v>
      </c>
    </row>
    <row r="66" spans="1:4" x14ac:dyDescent="0.3">
      <c r="A66" s="18">
        <f t="shared" si="8"/>
        <v>0.7</v>
      </c>
      <c r="B66" s="18">
        <v>0.40689096257063256</v>
      </c>
    </row>
    <row r="67" spans="1:4" x14ac:dyDescent="0.3">
      <c r="A67" s="18">
        <f>A66+$B$17</f>
        <v>0.89999999999999991</v>
      </c>
      <c r="B67" s="18">
        <v>0.14438066413796641</v>
      </c>
    </row>
    <row r="68" spans="1:4" x14ac:dyDescent="0.3">
      <c r="A68" s="18">
        <f>A67+B17/2</f>
        <v>0.99999999999999989</v>
      </c>
      <c r="B68" s="18">
        <v>0</v>
      </c>
    </row>
    <row r="71" spans="1:4" x14ac:dyDescent="0.3">
      <c r="A71" s="1" t="s">
        <v>96</v>
      </c>
    </row>
    <row r="72" spans="1:4" x14ac:dyDescent="0.3">
      <c r="A72" s="1" t="s">
        <v>27</v>
      </c>
      <c r="B72" s="1" t="s">
        <v>97</v>
      </c>
      <c r="C72" s="1" t="s">
        <v>104</v>
      </c>
      <c r="D72" s="1" t="s">
        <v>99</v>
      </c>
    </row>
    <row r="73" spans="1:4" x14ac:dyDescent="0.3">
      <c r="A73">
        <v>0</v>
      </c>
      <c r="B73">
        <f>$B$8+($B$9-$B$8)*((EXP($B$11*$B$13*A73/$B$12)-1)/(EXP($B$11*$B$13*$B$10/$B$12)-1))</f>
        <v>1</v>
      </c>
      <c r="C73">
        <f>B62</f>
        <v>1</v>
      </c>
      <c r="D73">
        <f>100*ABS((B73-C73)/B73)</f>
        <v>0</v>
      </c>
    </row>
    <row r="74" spans="1:4" x14ac:dyDescent="0.3">
      <c r="A74">
        <v>0.1</v>
      </c>
      <c r="B74">
        <f t="shared" ref="B74:B79" si="9">$B$8+($B$9-$B$8)*((EXP($B$11*$B$13*A74/$B$12)-1)/(EXP($B$11*$B$13*$B$10/$B$12)-1))</f>
        <v>0.9387929754399108</v>
      </c>
      <c r="C74">
        <f t="shared" ref="C74:C79" si="10">B63</f>
        <v>0.94118126944823721</v>
      </c>
      <c r="D74" s="19">
        <f t="shared" ref="D74:D78" si="11">100*ABS((B74-C74)/B74)</f>
        <v>0.2544004983854159</v>
      </c>
    </row>
    <row r="75" spans="1:4" x14ac:dyDescent="0.3">
      <c r="A75">
        <v>0.30000000000000004</v>
      </c>
      <c r="B75">
        <f t="shared" si="9"/>
        <v>0.79639032329768833</v>
      </c>
      <c r="C75">
        <f t="shared" si="10"/>
        <v>0.79740215032170569</v>
      </c>
      <c r="D75" s="19">
        <f t="shared" si="11"/>
        <v>0.12705164721585227</v>
      </c>
    </row>
    <row r="76" spans="1:4" x14ac:dyDescent="0.3">
      <c r="A76">
        <v>0.5</v>
      </c>
      <c r="B76">
        <f t="shared" si="9"/>
        <v>0.62245933120185448</v>
      </c>
      <c r="C76">
        <f t="shared" si="10"/>
        <v>0.62167211583372295</v>
      </c>
      <c r="D76" s="19">
        <f t="shared" si="11"/>
        <v>0.12646856247002755</v>
      </c>
    </row>
    <row r="77" spans="1:4" x14ac:dyDescent="0.3">
      <c r="A77">
        <v>0.7</v>
      </c>
      <c r="B77">
        <f t="shared" si="9"/>
        <v>0.4100195377264686</v>
      </c>
      <c r="C77">
        <f t="shared" si="10"/>
        <v>0.40689096257063256</v>
      </c>
      <c r="D77" s="19">
        <f t="shared" si="11"/>
        <v>0.76303075048173963</v>
      </c>
    </row>
    <row r="78" spans="1:4" x14ac:dyDescent="0.3">
      <c r="A78">
        <v>0.89999999999999991</v>
      </c>
      <c r="B78">
        <f t="shared" si="9"/>
        <v>0.15054498803265515</v>
      </c>
      <c r="C78">
        <f t="shared" si="10"/>
        <v>0.14438066413796641</v>
      </c>
      <c r="D78" s="19">
        <f t="shared" si="11"/>
        <v>4.094672280522297</v>
      </c>
    </row>
    <row r="79" spans="1:4" x14ac:dyDescent="0.3">
      <c r="A79">
        <v>0.99999999999999989</v>
      </c>
      <c r="B79">
        <f t="shared" si="9"/>
        <v>0</v>
      </c>
      <c r="C79">
        <f t="shared" si="10"/>
        <v>0</v>
      </c>
      <c r="D7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F73F-4692-4812-8C47-6B7E4EF270A0}">
  <dimension ref="A7:P79"/>
  <sheetViews>
    <sheetView tabSelected="1" topLeftCell="A41" workbookViewId="0">
      <selection activeCell="F47" sqref="F47"/>
    </sheetView>
  </sheetViews>
  <sheetFormatPr defaultRowHeight="14.4" x14ac:dyDescent="0.3"/>
  <cols>
    <col min="1" max="1" width="10" customWidth="1"/>
    <col min="2" max="2" width="13.44140625" customWidth="1"/>
    <col min="3" max="3" width="11.6640625" customWidth="1"/>
    <col min="4" max="4" width="14" customWidth="1"/>
  </cols>
  <sheetData>
    <row r="7" spans="1:3" x14ac:dyDescent="0.3">
      <c r="A7" s="1" t="s">
        <v>5</v>
      </c>
    </row>
    <row r="8" spans="1:3" x14ac:dyDescent="0.3">
      <c r="A8" t="s">
        <v>69</v>
      </c>
      <c r="B8" s="20">
        <v>1</v>
      </c>
    </row>
    <row r="9" spans="1:3" x14ac:dyDescent="0.3">
      <c r="A9" t="s">
        <v>70</v>
      </c>
      <c r="B9" s="20">
        <v>0</v>
      </c>
    </row>
    <row r="10" spans="1:3" x14ac:dyDescent="0.3">
      <c r="A10" t="s">
        <v>1</v>
      </c>
      <c r="B10" s="20">
        <v>1</v>
      </c>
    </row>
    <row r="11" spans="1:3" x14ac:dyDescent="0.3">
      <c r="A11" t="s">
        <v>71</v>
      </c>
      <c r="B11" s="20">
        <v>1</v>
      </c>
    </row>
    <row r="12" spans="1:3" x14ac:dyDescent="0.3">
      <c r="A12" t="s">
        <v>72</v>
      </c>
      <c r="B12" s="20">
        <v>0.1</v>
      </c>
    </row>
    <row r="13" spans="1:3" x14ac:dyDescent="0.3">
      <c r="A13" t="s">
        <v>80</v>
      </c>
      <c r="B13" s="20">
        <v>2.5</v>
      </c>
      <c r="C13" t="s">
        <v>81</v>
      </c>
    </row>
    <row r="14" spans="1:3" x14ac:dyDescent="0.3">
      <c r="A14" s="1" t="s">
        <v>75</v>
      </c>
    </row>
    <row r="15" spans="1:3" x14ac:dyDescent="0.3">
      <c r="A15" t="s">
        <v>40</v>
      </c>
      <c r="B15" s="20">
        <v>5</v>
      </c>
      <c r="C15" t="s">
        <v>76</v>
      </c>
    </row>
    <row r="16" spans="1:3" x14ac:dyDescent="0.3">
      <c r="A16" t="s">
        <v>77</v>
      </c>
      <c r="B16">
        <f>B15</f>
        <v>5</v>
      </c>
      <c r="C16" t="s">
        <v>78</v>
      </c>
    </row>
    <row r="17" spans="1:5" x14ac:dyDescent="0.3">
      <c r="A17" t="s">
        <v>79</v>
      </c>
      <c r="B17">
        <f>B10/B15</f>
        <v>0.2</v>
      </c>
    </row>
    <row r="25" spans="1:5" x14ac:dyDescent="0.3">
      <c r="A25" s="1" t="s">
        <v>73</v>
      </c>
    </row>
    <row r="29" spans="1:5" x14ac:dyDescent="0.3">
      <c r="A29" s="12" t="s">
        <v>100</v>
      </c>
    </row>
    <row r="30" spans="1:5" x14ac:dyDescent="0.3">
      <c r="E30" t="s">
        <v>103</v>
      </c>
    </row>
    <row r="41" spans="1:4" ht="43.2" x14ac:dyDescent="0.3">
      <c r="B41" s="13" t="s">
        <v>85</v>
      </c>
      <c r="C41" s="13" t="s">
        <v>86</v>
      </c>
      <c r="D41" s="13" t="s">
        <v>87</v>
      </c>
    </row>
    <row r="42" spans="1:4" x14ac:dyDescent="0.3">
      <c r="A42" t="s">
        <v>82</v>
      </c>
      <c r="B42">
        <f>MAX(ABS(0.5*B11*B13),B12/B17)-0.5*B11*B13</f>
        <v>0</v>
      </c>
      <c r="C42">
        <f>B42</f>
        <v>0</v>
      </c>
      <c r="D42">
        <v>0</v>
      </c>
    </row>
    <row r="43" spans="1:4" x14ac:dyDescent="0.3">
      <c r="A43" t="s">
        <v>83</v>
      </c>
      <c r="B43">
        <f>MAX(ABS(0.5*B11*B13),B12/B17)+0.5*B11*B13</f>
        <v>2.5</v>
      </c>
      <c r="C43">
        <v>0</v>
      </c>
      <c r="D43">
        <f>B43</f>
        <v>2.5</v>
      </c>
    </row>
    <row r="44" spans="1:4" x14ac:dyDescent="0.3">
      <c r="A44" t="s">
        <v>84</v>
      </c>
      <c r="B44">
        <f>B42+B43</f>
        <v>2.5</v>
      </c>
      <c r="C44">
        <f>C42+C43</f>
        <v>0</v>
      </c>
      <c r="D44">
        <f>D42+D43</f>
        <v>2.5</v>
      </c>
    </row>
    <row r="45" spans="1:4" x14ac:dyDescent="0.3">
      <c r="A45" t="s">
        <v>7</v>
      </c>
      <c r="B45">
        <v>0</v>
      </c>
      <c r="C45">
        <v>0</v>
      </c>
      <c r="D45">
        <v>0</v>
      </c>
    </row>
    <row r="46" spans="1:4" x14ac:dyDescent="0.3">
      <c r="A46" t="s">
        <v>10</v>
      </c>
      <c r="B46">
        <v>0</v>
      </c>
      <c r="C46">
        <v>0</v>
      </c>
      <c r="D46">
        <v>0</v>
      </c>
    </row>
    <row r="47" spans="1:4" x14ac:dyDescent="0.3">
      <c r="A47" t="s">
        <v>45</v>
      </c>
      <c r="B47">
        <v>0</v>
      </c>
      <c r="C47">
        <f>-2*B12/B17-B11*B13</f>
        <v>-3.5</v>
      </c>
      <c r="D47">
        <f>-2*B12/B17</f>
        <v>-1</v>
      </c>
    </row>
    <row r="48" spans="1:4" x14ac:dyDescent="0.3">
      <c r="A48" t="s">
        <v>46</v>
      </c>
      <c r="B48">
        <v>0</v>
      </c>
      <c r="C48">
        <f>-C47*B8</f>
        <v>3.5</v>
      </c>
      <c r="D48">
        <f>-D47*B9</f>
        <v>0</v>
      </c>
    </row>
    <row r="49" spans="1:16" ht="28.8" x14ac:dyDescent="0.3">
      <c r="A49" s="14" t="s">
        <v>88</v>
      </c>
      <c r="B49">
        <f>B44-B45-B47</f>
        <v>2.5</v>
      </c>
      <c r="C49">
        <f t="shared" ref="C49:D49" si="0">C44-C45-C47</f>
        <v>3.5</v>
      </c>
      <c r="D49">
        <f t="shared" si="0"/>
        <v>3.5</v>
      </c>
    </row>
    <row r="50" spans="1:16" ht="32.4" customHeight="1" x14ac:dyDescent="0.3">
      <c r="A50" s="14" t="s">
        <v>101</v>
      </c>
      <c r="B50">
        <f>B46+B48</f>
        <v>0</v>
      </c>
      <c r="C50">
        <f t="shared" ref="C50" si="1">C46+C48</f>
        <v>3.5</v>
      </c>
      <c r="D50">
        <f>D46+D48</f>
        <v>0</v>
      </c>
    </row>
    <row r="51" spans="1:16" x14ac:dyDescent="0.3">
      <c r="A51" s="1" t="s">
        <v>12</v>
      </c>
    </row>
    <row r="52" spans="1:16" x14ac:dyDescent="0.3">
      <c r="A52" s="21" t="s">
        <v>13</v>
      </c>
      <c r="B52" s="8"/>
      <c r="C52" s="8"/>
      <c r="D52" s="8"/>
      <c r="E52" s="8"/>
      <c r="F52" s="8"/>
      <c r="I52" s="16"/>
    </row>
    <row r="53" spans="1:16" x14ac:dyDescent="0.3">
      <c r="A53" s="8" t="s">
        <v>6</v>
      </c>
      <c r="B53" s="15" t="s">
        <v>89</v>
      </c>
      <c r="C53" s="15" t="s">
        <v>90</v>
      </c>
      <c r="D53" s="15" t="s">
        <v>91</v>
      </c>
      <c r="E53" s="15" t="s">
        <v>92</v>
      </c>
      <c r="F53" s="15" t="s">
        <v>93</v>
      </c>
      <c r="I53" s="22" t="s">
        <v>94</v>
      </c>
      <c r="L53" s="23" t="s">
        <v>21</v>
      </c>
      <c r="M53" s="17"/>
      <c r="N53" s="17"/>
      <c r="O53" s="17"/>
      <c r="P53" s="17"/>
    </row>
    <row r="54" spans="1:16" x14ac:dyDescent="0.3">
      <c r="A54" s="8">
        <v>1</v>
      </c>
      <c r="B54" s="8">
        <f>IF(A54=1,$C$49,IF(A54=2,-$B$43,0))</f>
        <v>3.5</v>
      </c>
      <c r="C54" s="8">
        <f>IF(A54=1,-$C$42,IF(A54=2,$B$49,IF(A54=3,-$B$43,0)))</f>
        <v>0</v>
      </c>
      <c r="D54" s="8">
        <f>IF(A54=1,0,IF(A54=2,-$B$42,IF(A54=3,$B$49,IF(A54=4,-$B$43,0))))</f>
        <v>0</v>
      </c>
      <c r="E54" s="8">
        <f>IF(A54=1,0,IF(A54=2,0,IF(A54=3,-$B$42,IF(A54=4,$B$49,IF(A54=5,-$D$43)))))</f>
        <v>0</v>
      </c>
      <c r="F54" s="8">
        <f>IF(A54=1,0,IF(A54=2,0,IF(A54=3,0,IF(A54=4,-$B$42,IF(A54=5,$D$49)))))</f>
        <v>0</v>
      </c>
      <c r="I54" s="16">
        <f>IF(A54=1,$C$50,IF(A54=5,$D$50,0))</f>
        <v>3.5</v>
      </c>
      <c r="L54" s="17">
        <f t="array" ref="L54:P58">MINVERSE(B54:F58)</f>
        <v>0.2857142857142857</v>
      </c>
      <c r="M54" s="17">
        <v>0</v>
      </c>
      <c r="N54" s="17">
        <v>0</v>
      </c>
      <c r="O54" s="17">
        <v>0</v>
      </c>
      <c r="P54" s="17">
        <v>0</v>
      </c>
    </row>
    <row r="55" spans="1:16" x14ac:dyDescent="0.3">
      <c r="A55" s="8">
        <v>2</v>
      </c>
      <c r="B55" s="8">
        <f t="shared" ref="B55:B58" si="2">IF(A55=1,$C$49,IF(A55=2,-$B$43,0))</f>
        <v>-2.5</v>
      </c>
      <c r="C55" s="8">
        <f t="shared" ref="C55:C58" si="3">IF(A55=1,-$C$42,IF(A55=2,$B$49,IF(A55=3,-$B$43,0)))</f>
        <v>2.5</v>
      </c>
      <c r="D55" s="8">
        <f t="shared" ref="D55:D58" si="4">IF(A55=1,0,IF(A55=2,-$B$42,IF(A55=3,$B$49,IF(A55=4,-$B$43,0))))</f>
        <v>0</v>
      </c>
      <c r="E55" s="8">
        <f t="shared" ref="E55:E58" si="5">IF(A55=1,0,IF(A55=2,0,IF(A55=3,-$B$42,IF(A55=4,$B$49,IF(A55=5,-$D$43)))))</f>
        <v>0</v>
      </c>
      <c r="F55" s="8">
        <f t="shared" ref="F55:F58" si="6">IF(A55=1,0,IF(A55=2,0,IF(A55=3,0,IF(A55=4,-$B$42,IF(A55=5,$D$49)))))</f>
        <v>0</v>
      </c>
      <c r="I55" s="16">
        <f t="shared" ref="I55:I58" si="7">IF(A55=1,$C$50,IF(A55=5,$D$50,0))</f>
        <v>0</v>
      </c>
      <c r="L55" s="17">
        <v>0.2857142857142857</v>
      </c>
      <c r="M55" s="17">
        <v>0.4</v>
      </c>
      <c r="N55" s="17">
        <v>0</v>
      </c>
      <c r="O55" s="17">
        <v>0</v>
      </c>
      <c r="P55" s="17">
        <v>0</v>
      </c>
    </row>
    <row r="56" spans="1:16" x14ac:dyDescent="0.3">
      <c r="A56" s="8">
        <v>3</v>
      </c>
      <c r="B56" s="8">
        <f t="shared" si="2"/>
        <v>0</v>
      </c>
      <c r="C56" s="8">
        <f t="shared" si="3"/>
        <v>-2.5</v>
      </c>
      <c r="D56" s="8">
        <f t="shared" si="4"/>
        <v>2.5</v>
      </c>
      <c r="E56" s="8">
        <f t="shared" si="5"/>
        <v>0</v>
      </c>
      <c r="F56" s="8">
        <f t="shared" si="6"/>
        <v>0</v>
      </c>
      <c r="I56" s="16">
        <f t="shared" si="7"/>
        <v>0</v>
      </c>
      <c r="L56" s="17">
        <v>0.2857142857142857</v>
      </c>
      <c r="M56" s="17">
        <v>0.4</v>
      </c>
      <c r="N56" s="17">
        <v>0.4</v>
      </c>
      <c r="O56" s="17">
        <v>0</v>
      </c>
      <c r="P56" s="17">
        <v>0</v>
      </c>
    </row>
    <row r="57" spans="1:16" x14ac:dyDescent="0.3">
      <c r="A57" s="8">
        <v>4</v>
      </c>
      <c r="B57" s="8">
        <f t="shared" si="2"/>
        <v>0</v>
      </c>
      <c r="C57" s="8">
        <f t="shared" si="3"/>
        <v>0</v>
      </c>
      <c r="D57" s="8">
        <f t="shared" si="4"/>
        <v>-2.5</v>
      </c>
      <c r="E57" s="8">
        <f t="shared" si="5"/>
        <v>2.5</v>
      </c>
      <c r="F57" s="8">
        <f t="shared" si="6"/>
        <v>0</v>
      </c>
      <c r="I57" s="16">
        <f t="shared" si="7"/>
        <v>0</v>
      </c>
      <c r="L57" s="17">
        <v>0.2857142857142857</v>
      </c>
      <c r="M57" s="17">
        <v>0.4</v>
      </c>
      <c r="N57" s="17">
        <v>0.4</v>
      </c>
      <c r="O57" s="17">
        <v>0.4</v>
      </c>
      <c r="P57" s="17">
        <v>0</v>
      </c>
    </row>
    <row r="58" spans="1:16" x14ac:dyDescent="0.3">
      <c r="A58" s="8">
        <v>5</v>
      </c>
      <c r="B58" s="8">
        <f t="shared" si="2"/>
        <v>0</v>
      </c>
      <c r="C58" s="8">
        <f t="shared" si="3"/>
        <v>0</v>
      </c>
      <c r="D58" s="8">
        <f t="shared" si="4"/>
        <v>0</v>
      </c>
      <c r="E58" s="8">
        <f t="shared" si="5"/>
        <v>-2.5</v>
      </c>
      <c r="F58" s="8">
        <f t="shared" si="6"/>
        <v>3.5</v>
      </c>
      <c r="I58" s="16">
        <f t="shared" si="7"/>
        <v>0</v>
      </c>
      <c r="L58" s="17">
        <v>0.20408163265306123</v>
      </c>
      <c r="M58" s="17">
        <v>0.2857142857142857</v>
      </c>
      <c r="N58" s="17">
        <v>0.2857142857142857</v>
      </c>
      <c r="O58" s="17">
        <v>0.2857142857142857</v>
      </c>
      <c r="P58" s="17">
        <v>0.2857142857142857</v>
      </c>
    </row>
    <row r="60" spans="1:16" x14ac:dyDescent="0.3">
      <c r="A60" s="1" t="s">
        <v>14</v>
      </c>
    </row>
    <row r="61" spans="1:16" x14ac:dyDescent="0.3">
      <c r="A61" s="18" t="s">
        <v>27</v>
      </c>
      <c r="B61" s="18" t="s">
        <v>95</v>
      </c>
    </row>
    <row r="62" spans="1:16" x14ac:dyDescent="0.3">
      <c r="A62" s="18">
        <v>0</v>
      </c>
      <c r="B62" s="18">
        <f>B8</f>
        <v>1</v>
      </c>
    </row>
    <row r="63" spans="1:16" x14ac:dyDescent="0.3">
      <c r="A63" s="18">
        <f>A62+B17/2</f>
        <v>0.1</v>
      </c>
      <c r="B63" s="18">
        <f t="array" ref="B63:B67">MMULT(L54:P58,I54:I58)</f>
        <v>1</v>
      </c>
    </row>
    <row r="64" spans="1:16" x14ac:dyDescent="0.3">
      <c r="A64" s="18">
        <f>A63+$B$17</f>
        <v>0.30000000000000004</v>
      </c>
      <c r="B64" s="18">
        <v>1</v>
      </c>
    </row>
    <row r="65" spans="1:4" x14ac:dyDescent="0.3">
      <c r="A65" s="18">
        <f t="shared" ref="A65:A66" si="8">A64+$B$17</f>
        <v>0.5</v>
      </c>
      <c r="B65" s="18">
        <v>1</v>
      </c>
    </row>
    <row r="66" spans="1:4" x14ac:dyDescent="0.3">
      <c r="A66" s="18">
        <f t="shared" si="8"/>
        <v>0.7</v>
      </c>
      <c r="B66" s="18">
        <v>1</v>
      </c>
    </row>
    <row r="67" spans="1:4" x14ac:dyDescent="0.3">
      <c r="A67" s="18">
        <f>A66+$B$17</f>
        <v>0.89999999999999991</v>
      </c>
      <c r="B67" s="18">
        <v>0.7142857142857143</v>
      </c>
    </row>
    <row r="68" spans="1:4" x14ac:dyDescent="0.3">
      <c r="A68" s="18">
        <f>A67+B17/2</f>
        <v>0.99999999999999989</v>
      </c>
      <c r="B68" s="18">
        <v>0</v>
      </c>
    </row>
    <row r="71" spans="1:4" x14ac:dyDescent="0.3">
      <c r="A71" s="1" t="s">
        <v>96</v>
      </c>
    </row>
    <row r="72" spans="1:4" x14ac:dyDescent="0.3">
      <c r="A72" s="1" t="s">
        <v>27</v>
      </c>
      <c r="B72" s="1" t="s">
        <v>97</v>
      </c>
      <c r="C72" s="1" t="s">
        <v>104</v>
      </c>
      <c r="D72" s="1" t="s">
        <v>99</v>
      </c>
    </row>
    <row r="73" spans="1:4" x14ac:dyDescent="0.3">
      <c r="A73">
        <v>0</v>
      </c>
      <c r="B73">
        <f>$B$8+($B$9-$B$8)*((EXP($B$11*$B$13*A73/$B$12)-1)/(EXP($B$11*$B$13*$B$10/$B$12)-1))</f>
        <v>1</v>
      </c>
      <c r="C73">
        <f>B62</f>
        <v>1</v>
      </c>
      <c r="D73">
        <f>100*ABS((B73-C73)/B73)</f>
        <v>0</v>
      </c>
    </row>
    <row r="74" spans="1:4" x14ac:dyDescent="0.3">
      <c r="A74">
        <v>0.1</v>
      </c>
      <c r="B74">
        <f t="shared" ref="B74:B79" si="9">$B$8+($B$9-$B$8)*((EXP($B$11*$B$13*A74/$B$12)-1)/(EXP($B$11*$B$13*$B$10/$B$12)-1))</f>
        <v>0.99999999984469812</v>
      </c>
      <c r="C74">
        <f t="shared" ref="C74:C79" si="10">B63</f>
        <v>1</v>
      </c>
      <c r="D74" s="19">
        <f t="shared" ref="D74:D78" si="11">100*ABS((B74-C74)/B74)</f>
        <v>1.5530188248927175E-8</v>
      </c>
    </row>
    <row r="75" spans="1:4" x14ac:dyDescent="0.3">
      <c r="A75">
        <v>0.30000000000000004</v>
      </c>
      <c r="B75">
        <f t="shared" si="9"/>
        <v>0.99999997490389636</v>
      </c>
      <c r="C75">
        <f t="shared" si="10"/>
        <v>1</v>
      </c>
      <c r="D75" s="19">
        <f t="shared" si="11"/>
        <v>2.5096104269469079E-6</v>
      </c>
    </row>
    <row r="76" spans="1:4" x14ac:dyDescent="0.3">
      <c r="A76">
        <v>0.5</v>
      </c>
      <c r="B76">
        <f t="shared" si="9"/>
        <v>0.99999627336071584</v>
      </c>
      <c r="C76">
        <f t="shared" si="10"/>
        <v>1</v>
      </c>
      <c r="D76" s="19">
        <f t="shared" si="11"/>
        <v>3.7266531720549456E-4</v>
      </c>
    </row>
    <row r="77" spans="1:4" x14ac:dyDescent="0.3">
      <c r="A77">
        <v>0.7</v>
      </c>
      <c r="B77">
        <f t="shared" si="9"/>
        <v>0.99944691564373245</v>
      </c>
      <c r="C77">
        <f t="shared" si="10"/>
        <v>1</v>
      </c>
      <c r="D77" s="19">
        <f t="shared" si="11"/>
        <v>5.533904278561079E-2</v>
      </c>
    </row>
    <row r="78" spans="1:4" x14ac:dyDescent="0.3">
      <c r="A78">
        <v>0.89999999999999991</v>
      </c>
      <c r="B78">
        <f t="shared" si="9"/>
        <v>0.91791500138884918</v>
      </c>
      <c r="C78">
        <f t="shared" si="10"/>
        <v>0.7142857142857143</v>
      </c>
      <c r="D78" s="19">
        <f t="shared" si="11"/>
        <v>22.183893584376989</v>
      </c>
    </row>
    <row r="79" spans="1:4" x14ac:dyDescent="0.3">
      <c r="A79">
        <v>0.99999999999999989</v>
      </c>
      <c r="B79">
        <f t="shared" si="9"/>
        <v>7.2164496600635175E-15</v>
      </c>
      <c r="C79">
        <f t="shared" si="10"/>
        <v>0</v>
      </c>
      <c r="D79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difussion_no source</vt:lpstr>
      <vt:lpstr>difussion_with source</vt:lpstr>
      <vt:lpstr>diff_conv_u0.1_Centr</vt:lpstr>
      <vt:lpstr>diff_conv_u2.5_Centr</vt:lpstr>
      <vt:lpstr>diff_conv_u0.1_Hybrid</vt:lpstr>
      <vt:lpstr>diff_conv_u2.5_Hybrid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2020-10-27T15:45:09Z</dcterms:created>
  <dcterms:modified xsi:type="dcterms:W3CDTF">2024-11-02T18:19:37Z</dcterms:modified>
</cp:coreProperties>
</file>