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MU_docs\Υπολογιστική ρευστομηχανική\Χειμερινό 2024-25\Διαλέξεις\"/>
    </mc:Choice>
  </mc:AlternateContent>
  <xr:revisionPtr revIDLastSave="0" documentId="13_ncr:1_{00E10C6B-D93E-4650-80F4-AB193891E4DA}" xr6:coauthVersionLast="47" xr6:coauthVersionMax="47" xr10:uidLastSave="{00000000-0000-0000-0000-000000000000}"/>
  <bookViews>
    <workbookView xWindow="-108" yWindow="-108" windowWidth="23256" windowHeight="12456" firstSheet="4" activeTab="6" xr2:uid="{C57C6733-659C-42B2-99EF-3EE62A66706B}"/>
  </bookViews>
  <sheets>
    <sheet name="FVM_Diffusion-nosource" sheetId="1" r:id="rId1"/>
    <sheet name="FVM_Diffusion with source" sheetId="2" r:id="rId2"/>
    <sheet name="FVM_Conv-Dif_Central_u0.1" sheetId="3" r:id="rId3"/>
    <sheet name="FVM_Conv-Dif_Central_u2.5" sheetId="4" r:id="rId4"/>
    <sheet name="FVM_Conv-Dif_Hybrid_u0.1" sheetId="5" r:id="rId5"/>
    <sheet name="FVM_Conv-Dif_Hybrid_u2.5" sheetId="6" r:id="rId6"/>
    <sheet name="common graph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7" l="1"/>
  <c r="S19" i="7"/>
  <c r="P20" i="7"/>
  <c r="S20" i="7"/>
  <c r="P21" i="7"/>
  <c r="S21" i="7"/>
  <c r="P22" i="7"/>
  <c r="S22" i="7"/>
  <c r="P23" i="7"/>
  <c r="S23" i="7"/>
  <c r="P24" i="7"/>
  <c r="S24" i="7"/>
  <c r="P25" i="7"/>
  <c r="S25" i="7"/>
  <c r="P11" i="7"/>
  <c r="R11" i="7"/>
  <c r="P12" i="7"/>
  <c r="R12" i="7"/>
  <c r="P13" i="7"/>
  <c r="R13" i="7"/>
  <c r="P14" i="7"/>
  <c r="R14" i="7"/>
  <c r="P15" i="7"/>
  <c r="R15" i="7"/>
  <c r="P16" i="7"/>
  <c r="R16" i="7"/>
  <c r="P17" i="7"/>
  <c r="R17" i="7"/>
  <c r="Q3" i="7"/>
  <c r="Q4" i="7"/>
  <c r="Q5" i="7"/>
  <c r="Q6" i="7"/>
  <c r="Q7" i="7"/>
  <c r="Q8" i="7"/>
  <c r="Q9" i="7"/>
  <c r="P3" i="7"/>
  <c r="P4" i="7"/>
  <c r="P5" i="7"/>
  <c r="P6" i="7"/>
  <c r="P7" i="7"/>
  <c r="P8" i="7"/>
  <c r="P9" i="7"/>
  <c r="B19" i="7"/>
  <c r="E19" i="7"/>
  <c r="B20" i="7"/>
  <c r="E20" i="7"/>
  <c r="B21" i="7"/>
  <c r="E21" i="7"/>
  <c r="B22" i="7"/>
  <c r="E22" i="7"/>
  <c r="B23" i="7"/>
  <c r="E23" i="7"/>
  <c r="B24" i="7"/>
  <c r="E24" i="7"/>
  <c r="B25" i="7"/>
  <c r="E25" i="7"/>
  <c r="B11" i="7"/>
  <c r="D11" i="7"/>
  <c r="B12" i="7"/>
  <c r="D12" i="7"/>
  <c r="B13" i="7"/>
  <c r="D13" i="7"/>
  <c r="B14" i="7"/>
  <c r="D14" i="7"/>
  <c r="B15" i="7"/>
  <c r="D15" i="7"/>
  <c r="B16" i="7"/>
  <c r="D16" i="7"/>
  <c r="B17" i="7"/>
  <c r="D17" i="7"/>
  <c r="C3" i="7"/>
  <c r="C4" i="7"/>
  <c r="C5" i="7"/>
  <c r="C6" i="7"/>
  <c r="C7" i="7"/>
  <c r="C8" i="7"/>
  <c r="C9" i="7"/>
  <c r="B3" i="7"/>
  <c r="B4" i="7"/>
  <c r="B5" i="7"/>
  <c r="B6" i="7"/>
  <c r="B7" i="7"/>
  <c r="B8" i="7"/>
  <c r="B9" i="7"/>
  <c r="E78" i="6"/>
  <c r="E79" i="6"/>
  <c r="E80" i="6"/>
  <c r="E81" i="6"/>
  <c r="E82" i="6"/>
  <c r="E83" i="6"/>
  <c r="E77" i="6"/>
  <c r="F77" i="6" s="1"/>
  <c r="D83" i="6"/>
  <c r="C78" i="6"/>
  <c r="D77" i="6"/>
  <c r="E66" i="6"/>
  <c r="I72" i="6" s="1"/>
  <c r="F59" i="6"/>
  <c r="F66" i="6" s="1"/>
  <c r="I73" i="6" s="1"/>
  <c r="E59" i="6"/>
  <c r="D59" i="6"/>
  <c r="D66" i="6" s="1"/>
  <c r="I71" i="6" s="1"/>
  <c r="F57" i="6"/>
  <c r="E57" i="6"/>
  <c r="D57" i="6"/>
  <c r="G55" i="6"/>
  <c r="G65" i="6" s="1"/>
  <c r="F55" i="6"/>
  <c r="F65" i="6" s="1"/>
  <c r="C55" i="6"/>
  <c r="C65" i="6" s="1"/>
  <c r="D70" i="6" s="1"/>
  <c r="C54" i="6"/>
  <c r="C53" i="6" s="1"/>
  <c r="C12" i="6"/>
  <c r="G54" i="6" s="1"/>
  <c r="E11" i="6"/>
  <c r="G77" i="5"/>
  <c r="F77" i="5"/>
  <c r="D78" i="5" a="1"/>
  <c r="D78" i="5" s="1"/>
  <c r="D57" i="5"/>
  <c r="D63" i="5" s="1"/>
  <c r="E57" i="5"/>
  <c r="E63" i="5" s="1"/>
  <c r="F57" i="5"/>
  <c r="G57" i="5"/>
  <c r="C57" i="5"/>
  <c r="C59" i="5" s="1"/>
  <c r="C66" i="5" s="1"/>
  <c r="I70" i="5" s="1"/>
  <c r="G59" i="5"/>
  <c r="C54" i="5"/>
  <c r="C64" i="5" s="1"/>
  <c r="F63" i="5"/>
  <c r="D59" i="5"/>
  <c r="E59" i="5"/>
  <c r="E66" i="5" s="1"/>
  <c r="I72" i="5" s="1"/>
  <c r="F59" i="5"/>
  <c r="F66" i="5" s="1"/>
  <c r="I73" i="5" s="1"/>
  <c r="D55" i="5"/>
  <c r="E55" i="5"/>
  <c r="F55" i="5"/>
  <c r="G55" i="5"/>
  <c r="C55" i="5"/>
  <c r="D54" i="5"/>
  <c r="E54" i="5"/>
  <c r="F54" i="5"/>
  <c r="G54" i="5"/>
  <c r="D83" i="5"/>
  <c r="E77" i="5"/>
  <c r="D77" i="5"/>
  <c r="D66" i="5"/>
  <c r="I71" i="5" s="1"/>
  <c r="G65" i="5"/>
  <c r="C12" i="5"/>
  <c r="E11" i="5"/>
  <c r="D83" i="4"/>
  <c r="E77" i="4"/>
  <c r="F77" i="4" s="1"/>
  <c r="D77" i="4"/>
  <c r="F59" i="4"/>
  <c r="F66" i="4" s="1"/>
  <c r="I73" i="4" s="1"/>
  <c r="E59" i="4"/>
  <c r="E66" i="4" s="1"/>
  <c r="I72" i="4" s="1"/>
  <c r="D59" i="4"/>
  <c r="D66" i="4" s="1"/>
  <c r="I71" i="4" s="1"/>
  <c r="G57" i="4"/>
  <c r="G59" i="4" s="1"/>
  <c r="G66" i="4" s="1"/>
  <c r="I74" i="4" s="1"/>
  <c r="F57" i="4"/>
  <c r="E57" i="4"/>
  <c r="D57" i="4"/>
  <c r="G55" i="4"/>
  <c r="G65" i="4" s="1"/>
  <c r="E55" i="4"/>
  <c r="E65" i="4" s="1"/>
  <c r="D55" i="4"/>
  <c r="D65" i="4" s="1"/>
  <c r="E71" i="4" s="1"/>
  <c r="C55" i="4"/>
  <c r="C53" i="4" s="1"/>
  <c r="F54" i="4"/>
  <c r="F64" i="4" s="1"/>
  <c r="C54" i="4"/>
  <c r="C64" i="4" s="1"/>
  <c r="C12" i="4"/>
  <c r="G54" i="4" s="1"/>
  <c r="E11" i="4"/>
  <c r="G77" i="3"/>
  <c r="F78" i="3"/>
  <c r="F79" i="3"/>
  <c r="F80" i="3"/>
  <c r="F81" i="3"/>
  <c r="F82" i="3"/>
  <c r="F83" i="3"/>
  <c r="F77" i="3"/>
  <c r="E78" i="3"/>
  <c r="E79" i="3"/>
  <c r="E80" i="3"/>
  <c r="E81" i="3"/>
  <c r="E82" i="3"/>
  <c r="E83" i="3"/>
  <c r="E77" i="3"/>
  <c r="D78" i="3" a="1"/>
  <c r="D78" i="3" s="1"/>
  <c r="D83" i="3"/>
  <c r="D77" i="3"/>
  <c r="C83" i="3"/>
  <c r="C80" i="3"/>
  <c r="C81" i="3" s="1"/>
  <c r="C82" i="3" s="1"/>
  <c r="C79" i="3"/>
  <c r="C78" i="3"/>
  <c r="K70" i="3" a="1"/>
  <c r="K70" i="3" s="1"/>
  <c r="I74" i="3"/>
  <c r="I73" i="3"/>
  <c r="I72" i="3"/>
  <c r="I71" i="3"/>
  <c r="I70" i="3"/>
  <c r="F74" i="3"/>
  <c r="G74" i="3"/>
  <c r="E73" i="3"/>
  <c r="F73" i="3"/>
  <c r="G73" i="3"/>
  <c r="D72" i="3"/>
  <c r="E72" i="3"/>
  <c r="F72" i="3"/>
  <c r="E71" i="3"/>
  <c r="C71" i="3"/>
  <c r="D71" i="3"/>
  <c r="D70" i="3"/>
  <c r="C70" i="3"/>
  <c r="D66" i="3"/>
  <c r="E66" i="3"/>
  <c r="F66" i="3"/>
  <c r="G66" i="3"/>
  <c r="C66" i="3"/>
  <c r="D64" i="3"/>
  <c r="E64" i="3"/>
  <c r="F64" i="3"/>
  <c r="G64" i="3"/>
  <c r="C64" i="3"/>
  <c r="D65" i="3"/>
  <c r="E65" i="3"/>
  <c r="F65" i="3"/>
  <c r="G65" i="3"/>
  <c r="C65" i="3"/>
  <c r="D63" i="3"/>
  <c r="E63" i="3"/>
  <c r="F63" i="3"/>
  <c r="G63" i="3"/>
  <c r="C63" i="3"/>
  <c r="D59" i="3"/>
  <c r="E59" i="3"/>
  <c r="F59" i="3"/>
  <c r="G59" i="3"/>
  <c r="C59" i="3"/>
  <c r="D57" i="3"/>
  <c r="E57" i="3"/>
  <c r="F57" i="3"/>
  <c r="G57" i="3"/>
  <c r="C57" i="3"/>
  <c r="D55" i="3"/>
  <c r="E55" i="3"/>
  <c r="F55" i="3"/>
  <c r="G55" i="3"/>
  <c r="C55" i="3"/>
  <c r="C53" i="3" s="1"/>
  <c r="D54" i="3"/>
  <c r="E54" i="3"/>
  <c r="F54" i="3"/>
  <c r="G54" i="3"/>
  <c r="C54" i="3"/>
  <c r="F53" i="3"/>
  <c r="G53" i="3"/>
  <c r="C16" i="3"/>
  <c r="C12" i="3"/>
  <c r="E11" i="3"/>
  <c r="G71" i="2"/>
  <c r="E72" i="2"/>
  <c r="F72" i="2" s="1"/>
  <c r="E73" i="2"/>
  <c r="F73" i="2" s="1"/>
  <c r="E74" i="2"/>
  <c r="E75" i="2"/>
  <c r="E76" i="2"/>
  <c r="F76" i="2" s="1"/>
  <c r="E77" i="2"/>
  <c r="F77" i="2" s="1"/>
  <c r="E71" i="2"/>
  <c r="F71" i="2" s="1"/>
  <c r="F74" i="2"/>
  <c r="F75" i="2"/>
  <c r="D59" i="2"/>
  <c r="E59" i="2"/>
  <c r="F59" i="2"/>
  <c r="G59" i="2"/>
  <c r="C59" i="2"/>
  <c r="G53" i="6" l="1"/>
  <c r="G64" i="6"/>
  <c r="F74" i="6" s="1"/>
  <c r="D55" i="6"/>
  <c r="D65" i="6" s="1"/>
  <c r="E71" i="6" s="1"/>
  <c r="G57" i="6"/>
  <c r="G59" i="6" s="1"/>
  <c r="G66" i="6" s="1"/>
  <c r="I74" i="6" s="1"/>
  <c r="C79" i="6"/>
  <c r="E55" i="6"/>
  <c r="E65" i="6" s="1"/>
  <c r="D54" i="6"/>
  <c r="C64" i="6"/>
  <c r="E54" i="6"/>
  <c r="C57" i="6"/>
  <c r="C59" i="6" s="1"/>
  <c r="C66" i="6" s="1"/>
  <c r="I70" i="6" s="1"/>
  <c r="F54" i="6"/>
  <c r="C16" i="6"/>
  <c r="G63" i="5"/>
  <c r="G53" i="5"/>
  <c r="G64" i="5"/>
  <c r="F74" i="5" s="1"/>
  <c r="D65" i="5"/>
  <c r="E71" i="5" s="1"/>
  <c r="G66" i="5"/>
  <c r="I74" i="5" s="1"/>
  <c r="E65" i="5"/>
  <c r="F65" i="5"/>
  <c r="C78" i="5"/>
  <c r="C16" i="5"/>
  <c r="D64" i="5"/>
  <c r="C71" i="5" s="1"/>
  <c r="F72" i="4"/>
  <c r="G73" i="4"/>
  <c r="G64" i="4"/>
  <c r="F74" i="4" s="1"/>
  <c r="G53" i="4"/>
  <c r="G63" i="4" s="1"/>
  <c r="G74" i="4" s="1"/>
  <c r="C65" i="4"/>
  <c r="D70" i="4" s="1"/>
  <c r="F55" i="4"/>
  <c r="C78" i="4"/>
  <c r="D54" i="4"/>
  <c r="C16" i="4"/>
  <c r="E54" i="4"/>
  <c r="C57" i="4"/>
  <c r="C59" i="4" s="1"/>
  <c r="C66" i="4" s="1"/>
  <c r="I70" i="4" s="1"/>
  <c r="E53" i="3"/>
  <c r="D53" i="3"/>
  <c r="F72" i="6" l="1"/>
  <c r="G73" i="6"/>
  <c r="F64" i="6"/>
  <c r="F53" i="6"/>
  <c r="F63" i="6" s="1"/>
  <c r="C63" i="6"/>
  <c r="C70" i="6" s="1"/>
  <c r="D53" i="6"/>
  <c r="D63" i="6" s="1"/>
  <c r="D71" i="6" s="1"/>
  <c r="D64" i="6"/>
  <c r="C71" i="6" s="1"/>
  <c r="C80" i="6"/>
  <c r="E64" i="6"/>
  <c r="E53" i="6"/>
  <c r="E63" i="6" s="1"/>
  <c r="G63" i="6"/>
  <c r="G74" i="6" s="1"/>
  <c r="E53" i="5"/>
  <c r="E64" i="5"/>
  <c r="F72" i="5"/>
  <c r="G73" i="5"/>
  <c r="D72" i="5"/>
  <c r="E73" i="5"/>
  <c r="E78" i="5"/>
  <c r="C79" i="5"/>
  <c r="G74" i="5"/>
  <c r="F64" i="5"/>
  <c r="F53" i="5"/>
  <c r="D53" i="5"/>
  <c r="D71" i="5" s="1"/>
  <c r="F53" i="4"/>
  <c r="F63" i="4" s="1"/>
  <c r="F65" i="4"/>
  <c r="E78" i="4"/>
  <c r="C79" i="4"/>
  <c r="E64" i="4"/>
  <c r="E53" i="4"/>
  <c r="E63" i="4" s="1"/>
  <c r="C63" i="4"/>
  <c r="C70" i="4" s="1"/>
  <c r="D53" i="4"/>
  <c r="D63" i="4" s="1"/>
  <c r="D71" i="4" s="1"/>
  <c r="D64" i="4"/>
  <c r="C71" i="4" s="1"/>
  <c r="D72" i="6" l="1"/>
  <c r="E73" i="6"/>
  <c r="C81" i="6"/>
  <c r="E72" i="6"/>
  <c r="F73" i="6"/>
  <c r="E72" i="5"/>
  <c r="F73" i="5"/>
  <c r="C80" i="5"/>
  <c r="E79" i="5"/>
  <c r="E72" i="4"/>
  <c r="F73" i="4"/>
  <c r="C80" i="4"/>
  <c r="E79" i="4"/>
  <c r="D72" i="4"/>
  <c r="K70" i="4" s="1" a="1"/>
  <c r="K70" i="4" s="1"/>
  <c r="D78" i="4" s="1" a="1"/>
  <c r="D78" i="4" s="1"/>
  <c r="F78" i="4" s="1"/>
  <c r="E73" i="4"/>
  <c r="K70" i="6" l="1" a="1"/>
  <c r="K70" i="6" s="1"/>
  <c r="D78" i="6" s="1" a="1"/>
  <c r="D78" i="6" s="1"/>
  <c r="F78" i="6" s="1"/>
  <c r="C82" i="6"/>
  <c r="C81" i="5"/>
  <c r="E80" i="5"/>
  <c r="F79" i="4"/>
  <c r="C81" i="4"/>
  <c r="E80" i="4"/>
  <c r="F80" i="4" s="1"/>
  <c r="F80" i="6" l="1"/>
  <c r="F81" i="6"/>
  <c r="F79" i="6"/>
  <c r="C83" i="6"/>
  <c r="F83" i="6" s="1"/>
  <c r="F82" i="6"/>
  <c r="E81" i="5"/>
  <c r="C82" i="5"/>
  <c r="E81" i="4"/>
  <c r="F81" i="4" s="1"/>
  <c r="C82" i="4"/>
  <c r="G77" i="6" l="1"/>
  <c r="C83" i="5"/>
  <c r="E83" i="5" s="1"/>
  <c r="F83" i="5" s="1"/>
  <c r="E82" i="5"/>
  <c r="C83" i="4"/>
  <c r="F83" i="4" s="1"/>
  <c r="E82" i="4"/>
  <c r="F82" i="4" s="1"/>
  <c r="G77" i="4" l="1"/>
  <c r="D77" i="2" l="1"/>
  <c r="D71" i="2"/>
  <c r="C77" i="2"/>
  <c r="C74" i="2"/>
  <c r="C75" i="2" s="1"/>
  <c r="C76" i="2" s="1"/>
  <c r="C73" i="2"/>
  <c r="C72" i="2"/>
  <c r="K64" i="2" a="1"/>
  <c r="K64" i="2" s="1"/>
  <c r="I68" i="2"/>
  <c r="I67" i="2"/>
  <c r="I66" i="2"/>
  <c r="I65" i="2"/>
  <c r="I64" i="2"/>
  <c r="D72" i="2" s="1" a="1"/>
  <c r="D72" i="2" s="1"/>
  <c r="G68" i="2"/>
  <c r="F68" i="2"/>
  <c r="E67" i="2"/>
  <c r="F67" i="2"/>
  <c r="G67" i="2"/>
  <c r="D66" i="2"/>
  <c r="E66" i="2"/>
  <c r="F66" i="2"/>
  <c r="E65" i="2"/>
  <c r="C65" i="2"/>
  <c r="D65" i="2"/>
  <c r="D64" i="2"/>
  <c r="C64" i="2"/>
  <c r="D58" i="2"/>
  <c r="E58" i="2"/>
  <c r="F58" i="2"/>
  <c r="G58" i="2"/>
  <c r="C58" i="2"/>
  <c r="D57" i="2"/>
  <c r="E57" i="2"/>
  <c r="F57" i="2"/>
  <c r="G57" i="2"/>
  <c r="C57" i="2"/>
  <c r="D56" i="2"/>
  <c r="E56" i="2"/>
  <c r="F56" i="2"/>
  <c r="G56" i="2"/>
  <c r="C56" i="2"/>
  <c r="D53" i="2"/>
  <c r="E53" i="2"/>
  <c r="F53" i="2"/>
  <c r="G53" i="2"/>
  <c r="C53" i="2"/>
  <c r="D52" i="2"/>
  <c r="E52" i="2"/>
  <c r="F52" i="2"/>
  <c r="G52" i="2"/>
  <c r="C52" i="2"/>
  <c r="D51" i="2"/>
  <c r="E51" i="2"/>
  <c r="F51" i="2"/>
  <c r="G51" i="2"/>
  <c r="C51" i="2"/>
  <c r="D49" i="2"/>
  <c r="E49" i="2"/>
  <c r="F49" i="2"/>
  <c r="G49" i="2"/>
  <c r="C49" i="2"/>
  <c r="D48" i="2"/>
  <c r="E48" i="2"/>
  <c r="F48" i="2"/>
  <c r="G48" i="2"/>
  <c r="C48" i="2"/>
  <c r="F47" i="2"/>
  <c r="G47" i="2"/>
  <c r="E21" i="2"/>
  <c r="C22" i="2"/>
  <c r="C19" i="2"/>
  <c r="G65" i="1"/>
  <c r="F66" i="1"/>
  <c r="F67" i="1"/>
  <c r="F68" i="1"/>
  <c r="F69" i="1"/>
  <c r="F70" i="1"/>
  <c r="F71" i="1"/>
  <c r="F65" i="1"/>
  <c r="E66" i="1"/>
  <c r="E67" i="1"/>
  <c r="E68" i="1"/>
  <c r="E69" i="1"/>
  <c r="E70" i="1"/>
  <c r="E71" i="1"/>
  <c r="E65" i="1"/>
  <c r="D66" i="1" a="1"/>
  <c r="D66" i="1" s="1"/>
  <c r="D71" i="1"/>
  <c r="D65" i="1"/>
  <c r="C71" i="1"/>
  <c r="C68" i="1"/>
  <c r="C69" i="1"/>
  <c r="C70" i="1" s="1"/>
  <c r="C67" i="1"/>
  <c r="C66" i="1"/>
  <c r="L58" i="1" a="1"/>
  <c r="L58" i="1" s="1"/>
  <c r="I62" i="1"/>
  <c r="I61" i="1"/>
  <c r="I60" i="1"/>
  <c r="I59" i="1"/>
  <c r="I58" i="1"/>
  <c r="D54" i="1"/>
  <c r="E54" i="1"/>
  <c r="F54" i="1"/>
  <c r="G54" i="1"/>
  <c r="C54" i="1"/>
  <c r="G62" i="1"/>
  <c r="F62" i="1"/>
  <c r="E61" i="1"/>
  <c r="F61" i="1"/>
  <c r="G61" i="1"/>
  <c r="D60" i="1"/>
  <c r="E60" i="1"/>
  <c r="F60" i="1"/>
  <c r="E59" i="1"/>
  <c r="C59" i="1"/>
  <c r="D58" i="1"/>
  <c r="D59" i="1"/>
  <c r="C58" i="1"/>
  <c r="D53" i="1"/>
  <c r="E53" i="1"/>
  <c r="F53" i="1"/>
  <c r="G53" i="1"/>
  <c r="C53" i="1"/>
  <c r="D52" i="1"/>
  <c r="E52" i="1"/>
  <c r="F52" i="1"/>
  <c r="G52" i="1"/>
  <c r="C52" i="1"/>
  <c r="D51" i="1"/>
  <c r="E51" i="1"/>
  <c r="F51" i="1"/>
  <c r="G51" i="1"/>
  <c r="C51" i="1"/>
  <c r="D47" i="1"/>
  <c r="E47" i="1"/>
  <c r="F47" i="1"/>
  <c r="G47" i="1"/>
  <c r="C47" i="1"/>
  <c r="C46" i="1"/>
  <c r="D46" i="1"/>
  <c r="E46" i="1"/>
  <c r="F46" i="1"/>
  <c r="G46" i="1"/>
  <c r="D43" i="1"/>
  <c r="E43" i="1"/>
  <c r="F43" i="1"/>
  <c r="G43" i="1"/>
  <c r="C43" i="1"/>
  <c r="D42" i="1"/>
  <c r="E42" i="1"/>
  <c r="F42" i="1"/>
  <c r="G42" i="1"/>
  <c r="C42" i="1"/>
  <c r="D41" i="1"/>
  <c r="E41" i="1"/>
  <c r="F41" i="1"/>
  <c r="G41" i="1"/>
  <c r="C41" i="1"/>
  <c r="E16" i="1"/>
  <c r="C16" i="1"/>
  <c r="E47" i="2" l="1"/>
  <c r="D47" i="2"/>
  <c r="C47" i="2"/>
  <c r="C53" i="5"/>
  <c r="C65" i="5"/>
  <c r="D70" i="5" s="1"/>
  <c r="C63" i="5" l="1"/>
  <c r="C70" i="5" s="1"/>
  <c r="K70" i="5" s="1" a="1"/>
  <c r="K70" i="5" s="1"/>
  <c r="F78" i="5" l="1"/>
  <c r="F79" i="5"/>
  <c r="F80" i="5"/>
  <c r="F81" i="5"/>
  <c r="F82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<sst xmlns="http://schemas.openxmlformats.org/spreadsheetml/2006/main" count="226" uniqueCount="83">
  <si>
    <t>L(m)</t>
  </si>
  <si>
    <t>A (m2)</t>
  </si>
  <si>
    <t>T_A(oC)</t>
  </si>
  <si>
    <t>T_B(oC)</t>
  </si>
  <si>
    <t>k (W/(mK)</t>
  </si>
  <si>
    <t>Dx (m)</t>
  </si>
  <si>
    <t>N (cells)</t>
  </si>
  <si>
    <t>no. of nodes</t>
  </si>
  <si>
    <t>Διακριτοποίηση</t>
  </si>
  <si>
    <t>Διέπουσα εξίσωση του φαινομένου</t>
  </si>
  <si>
    <t>Διακριτοποιημένη διέπουσα εξίσωση</t>
  </si>
  <si>
    <t>Όροι εξίσωσης</t>
  </si>
  <si>
    <t>Ενδιάμεσοι κόμβοι 2-4</t>
  </si>
  <si>
    <t>Δυτικό όριο - Κόμβος 1</t>
  </si>
  <si>
    <t>Ανατολικό όριο - Κόμβος 5</t>
  </si>
  <si>
    <t>Κόμβοι</t>
  </si>
  <si>
    <t>aW</t>
  </si>
  <si>
    <t>aE</t>
  </si>
  <si>
    <t>aP</t>
  </si>
  <si>
    <t>SP</t>
  </si>
  <si>
    <t>SU</t>
  </si>
  <si>
    <t>SP_BC</t>
  </si>
  <si>
    <t>SU_BC</t>
  </si>
  <si>
    <t>Πίνακας συντελεστών</t>
  </si>
  <si>
    <t>Συντελεστές εξίσωσης</t>
  </si>
  <si>
    <t>Συντ. P</t>
  </si>
  <si>
    <t>Συντ. W</t>
  </si>
  <si>
    <t>Συντ. E</t>
  </si>
  <si>
    <t>Αλγεβρικό σύστημα εξισώσεων</t>
  </si>
  <si>
    <t>Πίνακας σταθερών</t>
  </si>
  <si>
    <t>Source</t>
  </si>
  <si>
    <t>Αντίστροφος Πίνακας</t>
  </si>
  <si>
    <t>x (m)</t>
  </si>
  <si>
    <t>numerical solution</t>
  </si>
  <si>
    <t>analytical solution</t>
  </si>
  <si>
    <t>error</t>
  </si>
  <si>
    <t>Δεδομένα</t>
  </si>
  <si>
    <t>Τ_Α (oC)</t>
  </si>
  <si>
    <t>T_B (oC)</t>
  </si>
  <si>
    <t>k (W/(mC))</t>
  </si>
  <si>
    <t>q (kW/m3)</t>
  </si>
  <si>
    <t>q (W/m3)</t>
  </si>
  <si>
    <t>L (m)</t>
  </si>
  <si>
    <t>N διαστήματα</t>
  </si>
  <si>
    <t>nodes</t>
  </si>
  <si>
    <t>Διακριτοποιημένη εξίσωση μεταφοράς</t>
  </si>
  <si>
    <t>Ενδιάμεσοι κόμβοι</t>
  </si>
  <si>
    <t>Δυτικό όριο</t>
  </si>
  <si>
    <t>Ανατολικό όριο</t>
  </si>
  <si>
    <t>SPBC</t>
  </si>
  <si>
    <t>SUBC</t>
  </si>
  <si>
    <t>Συντ. TP</t>
  </si>
  <si>
    <t>Συντ. TW</t>
  </si>
  <si>
    <t>Συντ. TE</t>
  </si>
  <si>
    <t>Σταθ. Όρος</t>
  </si>
  <si>
    <t>Αλγεβρικό σύστημα</t>
  </si>
  <si>
    <t>Σταθερές</t>
  </si>
  <si>
    <t>Αντίστροφος Πίνακας Συντελεστών</t>
  </si>
  <si>
    <t>Nodes</t>
  </si>
  <si>
    <t>Numerical solution</t>
  </si>
  <si>
    <t>Analytical solution</t>
  </si>
  <si>
    <t>Error(%)</t>
  </si>
  <si>
    <t>Mean absolute error</t>
  </si>
  <si>
    <t>φ0</t>
  </si>
  <si>
    <t>φL</t>
  </si>
  <si>
    <t>N</t>
  </si>
  <si>
    <t>u (m/s)</t>
  </si>
  <si>
    <t>Γ (kg/(ms))</t>
  </si>
  <si>
    <t>Pe</t>
  </si>
  <si>
    <t>ρ (kg/m3)</t>
  </si>
  <si>
    <t xml:space="preserve">Διακριτοποίηση </t>
  </si>
  <si>
    <t>Συντ. φP</t>
  </si>
  <si>
    <t>Συντ. φW</t>
  </si>
  <si>
    <t>Συντ. φE</t>
  </si>
  <si>
    <t>Αντίστροφος Πίνακας συντελεστών</t>
  </si>
  <si>
    <t>Node</t>
  </si>
  <si>
    <t>Error (%)</t>
  </si>
  <si>
    <t>x</t>
  </si>
  <si>
    <t>Low velocity</t>
  </si>
  <si>
    <t>Analytical</t>
  </si>
  <si>
    <t>FVM-Central</t>
  </si>
  <si>
    <t>FVM-Hybrid</t>
  </si>
  <si>
    <t>High velocity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</si>
</sst>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61"/>
      <scheme val="minor"/>
    </font>
    <font>
      <sz val="8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'FVM_Diffusion-nosource'!$D$64</c:f>
              <c:strCache>
                <c:ptCount val="1"/>
                <c:pt idx="0">
                  <c:v>numerical solution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'FVM_Diffusion-nosource'!$C$65:$C$71</c:f>
              <c:numCache>
                <c:formatCode>General</c:formatCode>
                <c:ptCount val="7"/>
                <c:pt idx="0">
                  <c:v>0</c:v>
                </c:pt>
                <c:pt idx="1">
                  <c:v>0.05</c:v>
                </c:pt>
                <c:pt idx="2">
                  <c:v>0.15000000000000002</c:v>
                </c:pt>
                <c:pt idx="3">
                  <c:v>0.25</c:v>
                </c:pt>
                <c:pt idx="4">
                  <c:v>0.35</c:v>
                </c:pt>
                <c:pt idx="5">
                  <c:v>0.44999999999999996</c:v>
                </c:pt>
                <c:pt idx="6">
                  <c:v>0.49999999999999994</c:v>
                </c:pt>
              </c:numCache>
            </c:numRef>
          </c:xVal>
          <c:yVal>
            <c:numRef>
              <c:f>'FVM_Diffusion-nosource'!$D$65:$D$71</c:f>
              <c:numCache>
                <c:formatCode>General</c:formatCode>
                <c:ptCount val="7"/>
                <c:pt idx="0">
                  <c:v>100</c:v>
                </c:pt>
                <c:pt idx="1">
                  <c:v>140</c:v>
                </c:pt>
                <c:pt idx="2">
                  <c:v>219.99999999999994</c:v>
                </c:pt>
                <c:pt idx="3">
                  <c:v>299.99999999999994</c:v>
                </c:pt>
                <c:pt idx="4">
                  <c:v>379.99999999999994</c:v>
                </c:pt>
                <c:pt idx="5">
                  <c:v>460</c:v>
                </c:pt>
                <c:pt idx="6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57-4FF1-A40A-CB953B80F225}"/>
            </c:ext>
          </c:extLst>
        </c:ser>
        <c:ser>
          <c:idx val="1"/>
          <c:order val="1"/>
          <c:tx>
            <c:strRef>
              <c:f>'FVM_Diffusion-nosource'!$E$64</c:f>
              <c:strCache>
                <c:ptCount val="1"/>
                <c:pt idx="0">
                  <c:v>analytical solution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'FVM_Diffusion-nosource'!$C$65:$C$71</c:f>
              <c:numCache>
                <c:formatCode>General</c:formatCode>
                <c:ptCount val="7"/>
                <c:pt idx="0">
                  <c:v>0</c:v>
                </c:pt>
                <c:pt idx="1">
                  <c:v>0.05</c:v>
                </c:pt>
                <c:pt idx="2">
                  <c:v>0.15000000000000002</c:v>
                </c:pt>
                <c:pt idx="3">
                  <c:v>0.25</c:v>
                </c:pt>
                <c:pt idx="4">
                  <c:v>0.35</c:v>
                </c:pt>
                <c:pt idx="5">
                  <c:v>0.44999999999999996</c:v>
                </c:pt>
                <c:pt idx="6">
                  <c:v>0.49999999999999994</c:v>
                </c:pt>
              </c:numCache>
            </c:numRef>
          </c:xVal>
          <c:yVal>
            <c:numRef>
              <c:f>'FVM_Diffusion-nosource'!$E$65:$E$71</c:f>
              <c:numCache>
                <c:formatCode>General</c:formatCode>
                <c:ptCount val="7"/>
                <c:pt idx="0">
                  <c:v>100</c:v>
                </c:pt>
                <c:pt idx="1">
                  <c:v>140</c:v>
                </c:pt>
                <c:pt idx="2">
                  <c:v>220</c:v>
                </c:pt>
                <c:pt idx="3">
                  <c:v>300</c:v>
                </c:pt>
                <c:pt idx="4">
                  <c:v>380</c:v>
                </c:pt>
                <c:pt idx="5">
                  <c:v>459.99999999999994</c:v>
                </c:pt>
                <c:pt idx="6">
                  <c:v>499.99999999999994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57-4FF1-A40A-CB953B80F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19296"/>
        <c:axId val="531571344"/>
      </c:scatterChart>
      <c:valAx>
        <c:axId val="408319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31571344"/>
        <c:crosses val="autoZero"/>
        <c:crossBetween val="midCat"/>
      </c:valAx>
      <c:valAx>
        <c:axId val="53157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08319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'FVM_Diffusion with source'!$D$70</c:f>
              <c:strCache>
                <c:ptCount val="1"/>
                <c:pt idx="0">
                  <c:v>Numerical solution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'FVM_Diffusion with source'!$C$71:$C$77</c:f>
              <c:numCache>
                <c:formatCode>General</c:formatCode>
                <c:ptCount val="7"/>
                <c:pt idx="0">
                  <c:v>0</c:v>
                </c:pt>
                <c:pt idx="1">
                  <c:v>2E-3</c:v>
                </c:pt>
                <c:pt idx="2">
                  <c:v>6.0000000000000001E-3</c:v>
                </c:pt>
                <c:pt idx="3">
                  <c:v>0.01</c:v>
                </c:pt>
                <c:pt idx="4">
                  <c:v>1.4E-2</c:v>
                </c:pt>
                <c:pt idx="5">
                  <c:v>1.8000000000000002E-2</c:v>
                </c:pt>
                <c:pt idx="6">
                  <c:v>2.0000000000000004E-2</c:v>
                </c:pt>
              </c:numCache>
            </c:numRef>
          </c:xVal>
          <c:yVal>
            <c:numRef>
              <c:f>'FVM_Diffusion with source'!$D$71:$D$77</c:f>
              <c:numCache>
                <c:formatCode>General</c:formatCode>
                <c:ptCount val="7"/>
                <c:pt idx="0">
                  <c:v>100</c:v>
                </c:pt>
                <c:pt idx="1">
                  <c:v>150</c:v>
                </c:pt>
                <c:pt idx="2">
                  <c:v>218</c:v>
                </c:pt>
                <c:pt idx="3">
                  <c:v>254</c:v>
                </c:pt>
                <c:pt idx="4">
                  <c:v>258</c:v>
                </c:pt>
                <c:pt idx="5">
                  <c:v>230</c:v>
                </c:pt>
                <c:pt idx="6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AD-4419-914A-5F3322CE35E1}"/>
            </c:ext>
          </c:extLst>
        </c:ser>
        <c:ser>
          <c:idx val="1"/>
          <c:order val="1"/>
          <c:tx>
            <c:strRef>
              <c:f>'FVM_Diffusion with source'!$E$70</c:f>
              <c:strCache>
                <c:ptCount val="1"/>
                <c:pt idx="0">
                  <c:v>Analytical solution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'FVM_Diffusion with source'!$C$71:$C$77</c:f>
              <c:numCache>
                <c:formatCode>General</c:formatCode>
                <c:ptCount val="7"/>
                <c:pt idx="0">
                  <c:v>0</c:v>
                </c:pt>
                <c:pt idx="1">
                  <c:v>2E-3</c:v>
                </c:pt>
                <c:pt idx="2">
                  <c:v>6.0000000000000001E-3</c:v>
                </c:pt>
                <c:pt idx="3">
                  <c:v>0.01</c:v>
                </c:pt>
                <c:pt idx="4">
                  <c:v>1.4E-2</c:v>
                </c:pt>
                <c:pt idx="5">
                  <c:v>1.8000000000000002E-2</c:v>
                </c:pt>
                <c:pt idx="6">
                  <c:v>2.0000000000000004E-2</c:v>
                </c:pt>
              </c:numCache>
            </c:numRef>
          </c:xVal>
          <c:yVal>
            <c:numRef>
              <c:f>'FVM_Diffusion with source'!$E$71:$E$77</c:f>
              <c:numCache>
                <c:formatCode>General</c:formatCode>
                <c:ptCount val="7"/>
                <c:pt idx="0">
                  <c:v>100</c:v>
                </c:pt>
                <c:pt idx="1">
                  <c:v>146</c:v>
                </c:pt>
                <c:pt idx="2">
                  <c:v>214</c:v>
                </c:pt>
                <c:pt idx="3">
                  <c:v>250</c:v>
                </c:pt>
                <c:pt idx="4">
                  <c:v>254</c:v>
                </c:pt>
                <c:pt idx="5">
                  <c:v>226</c:v>
                </c:pt>
                <c:pt idx="6">
                  <c:v>199.99999999999994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AD-4419-914A-5F3322CE3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150591"/>
        <c:axId val="1272152511"/>
      </c:scatterChart>
      <c:valAx>
        <c:axId val="1272150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(m)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72152511"/>
        <c:crosses val="autoZero"/>
        <c:crossBetween val="midCat"/>
      </c:valAx>
      <c:valAx>
        <c:axId val="127215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 (oC)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721505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'FVM_Conv-Dif_Central_u0.1'!$D$76</c:f>
              <c:strCache>
                <c:ptCount val="1"/>
                <c:pt idx="0">
                  <c:v>Numerical solution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'FVM_Conv-Dif_Central_u0.1'!$C$77:$C$83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</c:numCache>
            </c:numRef>
          </c:xVal>
          <c:yVal>
            <c:numRef>
              <c:f>'FVM_Conv-Dif_Central_u0.1'!$D$77:$D$83</c:f>
              <c:numCache>
                <c:formatCode>General</c:formatCode>
                <c:ptCount val="7"/>
                <c:pt idx="0">
                  <c:v>1</c:v>
                </c:pt>
                <c:pt idx="1">
                  <c:v>0.9421099586282623</c:v>
                </c:pt>
                <c:pt idx="2">
                  <c:v>0.80060096860845886</c:v>
                </c:pt>
                <c:pt idx="3">
                  <c:v>0.62764553636203246</c:v>
                </c:pt>
                <c:pt idx="4">
                  <c:v>0.41625556361639998</c:v>
                </c:pt>
                <c:pt idx="5">
                  <c:v>0.15789004137173793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DF-45F1-A477-85D39F5148E1}"/>
            </c:ext>
          </c:extLst>
        </c:ser>
        <c:ser>
          <c:idx val="1"/>
          <c:order val="1"/>
          <c:tx>
            <c:strRef>
              <c:f>'FVM_Conv-Dif_Central_u0.1'!$E$76</c:f>
              <c:strCache>
                <c:ptCount val="1"/>
                <c:pt idx="0">
                  <c:v>Analytical solution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'FVM_Conv-Dif_Central_u0.1'!$C$77:$C$83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</c:numCache>
            </c:numRef>
          </c:xVal>
          <c:yVal>
            <c:numRef>
              <c:f>'FVM_Conv-Dif_Central_u0.1'!$E$77:$E$83</c:f>
              <c:numCache>
                <c:formatCode>General</c:formatCode>
                <c:ptCount val="7"/>
                <c:pt idx="0">
                  <c:v>1</c:v>
                </c:pt>
                <c:pt idx="1">
                  <c:v>0.9387929754399108</c:v>
                </c:pt>
                <c:pt idx="2">
                  <c:v>0.79639032329768833</c:v>
                </c:pt>
                <c:pt idx="3">
                  <c:v>0.62245933120185448</c:v>
                </c:pt>
                <c:pt idx="4">
                  <c:v>0.4100195377264686</c:v>
                </c:pt>
                <c:pt idx="5">
                  <c:v>0.15054498803265515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DF-45F1-A477-85D39F514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12479"/>
        <c:axId val="233540319"/>
      </c:scatterChart>
      <c:valAx>
        <c:axId val="233512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540319"/>
        <c:crosses val="autoZero"/>
        <c:crossBetween val="midCat"/>
      </c:valAx>
      <c:valAx>
        <c:axId val="23354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5124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'FVM_Conv-Dif_Central_u2.5'!$D$76</c:f>
              <c:strCache>
                <c:ptCount val="1"/>
                <c:pt idx="0">
                  <c:v>Numerical solution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'FVM_Conv-Dif_Central_u2.5'!$C$77:$C$83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</c:numCache>
            </c:numRef>
          </c:xVal>
          <c:yVal>
            <c:numRef>
              <c:f>'FVM_Conv-Dif_Central_u2.5'!$D$77:$D$83</c:f>
              <c:numCache>
                <c:formatCode>General</c:formatCode>
                <c:ptCount val="7"/>
                <c:pt idx="0">
                  <c:v>1</c:v>
                </c:pt>
                <c:pt idx="1">
                  <c:v>1.0356304985337244</c:v>
                </c:pt>
                <c:pt idx="2">
                  <c:v>0.86935483870967745</c:v>
                </c:pt>
                <c:pt idx="3">
                  <c:v>1.2573313782991202</c:v>
                </c:pt>
                <c:pt idx="4">
                  <c:v>0.35205278592375366</c:v>
                </c:pt>
                <c:pt idx="5">
                  <c:v>2.4643695014662756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6D-402E-9D6F-03604F3EEB67}"/>
            </c:ext>
          </c:extLst>
        </c:ser>
        <c:ser>
          <c:idx val="1"/>
          <c:order val="1"/>
          <c:tx>
            <c:strRef>
              <c:f>'FVM_Conv-Dif_Central_u2.5'!$E$76</c:f>
              <c:strCache>
                <c:ptCount val="1"/>
                <c:pt idx="0">
                  <c:v>Analytical solution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'FVM_Conv-Dif_Central_u2.5'!$C$77:$C$83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</c:numCache>
            </c:numRef>
          </c:xVal>
          <c:yVal>
            <c:numRef>
              <c:f>'FVM_Conv-Dif_Central_u2.5'!$E$77:$E$83</c:f>
              <c:numCache>
                <c:formatCode>General</c:formatCode>
                <c:ptCount val="7"/>
                <c:pt idx="0">
                  <c:v>1</c:v>
                </c:pt>
                <c:pt idx="1">
                  <c:v>0.99999999984469812</c:v>
                </c:pt>
                <c:pt idx="2">
                  <c:v>0.99999997490389636</c:v>
                </c:pt>
                <c:pt idx="3">
                  <c:v>0.99999627336071584</c:v>
                </c:pt>
                <c:pt idx="4">
                  <c:v>0.99944691564373245</c:v>
                </c:pt>
                <c:pt idx="5">
                  <c:v>0.91791500138884918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6D-402E-9D6F-03604F3EE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12479"/>
        <c:axId val="233540319"/>
      </c:scatterChart>
      <c:valAx>
        <c:axId val="233512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540319"/>
        <c:crosses val="autoZero"/>
        <c:crossBetween val="midCat"/>
      </c:valAx>
      <c:valAx>
        <c:axId val="23354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5124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'FVM_Conv-Dif_Hybrid_u0.1'!$D$76</c:f>
              <c:strCache>
                <c:ptCount val="1"/>
                <c:pt idx="0">
                  <c:v>Numerical solution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'FVM_Conv-Dif_Hybrid_u0.1'!$C$77:$C$83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</c:numCache>
            </c:numRef>
          </c:xVal>
          <c:yVal>
            <c:numRef>
              <c:f>'FVM_Conv-Dif_Hybrid_u0.1'!$D$77:$D$83</c:f>
              <c:numCache>
                <c:formatCode>General</c:formatCode>
                <c:ptCount val="7"/>
                <c:pt idx="0">
                  <c:v>1</c:v>
                </c:pt>
                <c:pt idx="1">
                  <c:v>0.94118126944823721</c:v>
                </c:pt>
                <c:pt idx="2">
                  <c:v>0.79740215032170569</c:v>
                </c:pt>
                <c:pt idx="3">
                  <c:v>0.62167211583372295</c:v>
                </c:pt>
                <c:pt idx="4">
                  <c:v>0.40689096257063256</c:v>
                </c:pt>
                <c:pt idx="5">
                  <c:v>0.14438066413796641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F4-4382-ACD5-57D9D6AEF210}"/>
            </c:ext>
          </c:extLst>
        </c:ser>
        <c:ser>
          <c:idx val="1"/>
          <c:order val="1"/>
          <c:tx>
            <c:strRef>
              <c:f>'FVM_Conv-Dif_Hybrid_u0.1'!$E$76</c:f>
              <c:strCache>
                <c:ptCount val="1"/>
                <c:pt idx="0">
                  <c:v>Analytical solution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'FVM_Conv-Dif_Hybrid_u0.1'!$C$77:$C$83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</c:numCache>
            </c:numRef>
          </c:xVal>
          <c:yVal>
            <c:numRef>
              <c:f>'FVM_Conv-Dif_Hybrid_u0.1'!$E$77:$E$83</c:f>
              <c:numCache>
                <c:formatCode>General</c:formatCode>
                <c:ptCount val="7"/>
                <c:pt idx="0">
                  <c:v>1</c:v>
                </c:pt>
                <c:pt idx="1">
                  <c:v>0.9387929754399108</c:v>
                </c:pt>
                <c:pt idx="2">
                  <c:v>0.79639032329768833</c:v>
                </c:pt>
                <c:pt idx="3">
                  <c:v>0.62245933120185448</c:v>
                </c:pt>
                <c:pt idx="4">
                  <c:v>0.4100195377264686</c:v>
                </c:pt>
                <c:pt idx="5">
                  <c:v>0.15054498803265515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F4-4382-ACD5-57D9D6AEF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12479"/>
        <c:axId val="233540319"/>
      </c:scatterChart>
      <c:valAx>
        <c:axId val="233512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540319"/>
        <c:crosses val="autoZero"/>
        <c:crossBetween val="midCat"/>
      </c:valAx>
      <c:valAx>
        <c:axId val="23354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5124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'FVM_Conv-Dif_Hybrid_u2.5'!$D$76</c:f>
              <c:strCache>
                <c:ptCount val="1"/>
                <c:pt idx="0">
                  <c:v>Numerical solution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'FVM_Conv-Dif_Hybrid_u2.5'!$C$77:$C$83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</c:numCache>
            </c:numRef>
          </c:xVal>
          <c:yVal>
            <c:numRef>
              <c:f>'FVM_Conv-Dif_Hybrid_u2.5'!$D$77:$D$83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0.7142857142857143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6B-419B-971E-49578424845C}"/>
            </c:ext>
          </c:extLst>
        </c:ser>
        <c:ser>
          <c:idx val="1"/>
          <c:order val="1"/>
          <c:tx>
            <c:strRef>
              <c:f>'FVM_Conv-Dif_Hybrid_u2.5'!$E$76</c:f>
              <c:strCache>
                <c:ptCount val="1"/>
                <c:pt idx="0">
                  <c:v>Analytical solution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'FVM_Conv-Dif_Hybrid_u2.5'!$C$77:$C$83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</c:numCache>
            </c:numRef>
          </c:xVal>
          <c:yVal>
            <c:numRef>
              <c:f>'FVM_Conv-Dif_Hybrid_u2.5'!$E$77:$E$83</c:f>
              <c:numCache>
                <c:formatCode>General</c:formatCode>
                <c:ptCount val="7"/>
                <c:pt idx="0">
                  <c:v>1</c:v>
                </c:pt>
                <c:pt idx="1">
                  <c:v>0.99999999984469812</c:v>
                </c:pt>
                <c:pt idx="2">
                  <c:v>0.99999997490389636</c:v>
                </c:pt>
                <c:pt idx="3">
                  <c:v>0.99999627336071584</c:v>
                </c:pt>
                <c:pt idx="4">
                  <c:v>0.99944691564373245</c:v>
                </c:pt>
                <c:pt idx="5">
                  <c:v>0.91791500138884918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6B-419B-971E-495784248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12479"/>
        <c:axId val="233540319"/>
      </c:scatterChart>
      <c:valAx>
        <c:axId val="233512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540319"/>
        <c:crosses val="autoZero"/>
        <c:crossBetween val="midCat"/>
      </c:valAx>
      <c:valAx>
        <c:axId val="23354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335124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'common graphs'!$C$2</c:f>
              <c:strCache>
                <c:ptCount val="1"/>
                <c:pt idx="0">
                  <c:v>Analytical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'common graphs'!$B$3:$B$25</c:f>
              <c:numCache>
                <c:formatCode>General</c:formatCode>
                <c:ptCount val="23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  <c:pt idx="8">
                  <c:v>0</c:v>
                </c:pt>
                <c:pt idx="9">
                  <c:v>0.1</c:v>
                </c:pt>
                <c:pt idx="10">
                  <c:v>0.30000000000000004</c:v>
                </c:pt>
                <c:pt idx="11">
                  <c:v>0.5</c:v>
                </c:pt>
                <c:pt idx="12">
                  <c:v>0.7</c:v>
                </c:pt>
                <c:pt idx="13">
                  <c:v>0.89999999999999991</c:v>
                </c:pt>
                <c:pt idx="14">
                  <c:v>0.99999999999999989</c:v>
                </c:pt>
                <c:pt idx="16">
                  <c:v>0</c:v>
                </c:pt>
                <c:pt idx="17">
                  <c:v>0.1</c:v>
                </c:pt>
                <c:pt idx="18">
                  <c:v>0.30000000000000004</c:v>
                </c:pt>
                <c:pt idx="19">
                  <c:v>0.5</c:v>
                </c:pt>
                <c:pt idx="20">
                  <c:v>0.7</c:v>
                </c:pt>
                <c:pt idx="21">
                  <c:v>0.89999999999999991</c:v>
                </c:pt>
                <c:pt idx="22">
                  <c:v>0.99999999999999989</c:v>
                </c:pt>
              </c:numCache>
            </c:numRef>
          </c:xVal>
          <c:yVal>
            <c:numRef>
              <c:f>'common graphs'!$C$3:$C$25</c:f>
              <c:numCache>
                <c:formatCode>General</c:formatCode>
                <c:ptCount val="23"/>
                <c:pt idx="0">
                  <c:v>1</c:v>
                </c:pt>
                <c:pt idx="1">
                  <c:v>0.9387929754399108</c:v>
                </c:pt>
                <c:pt idx="2">
                  <c:v>0.79639032329768833</c:v>
                </c:pt>
                <c:pt idx="3">
                  <c:v>0.62245933120185448</c:v>
                </c:pt>
                <c:pt idx="4">
                  <c:v>0.4100195377264686</c:v>
                </c:pt>
                <c:pt idx="5">
                  <c:v>0.15054498803265515</c:v>
                </c:pt>
                <c:pt idx="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63-47DB-9274-83AC61409638}"/>
            </c:ext>
          </c:extLst>
        </c:ser>
        <c:ser>
          <c:idx val="1"/>
          <c:order val="1"/>
          <c:tx>
            <c:strRef>
              <c:f>'common graphs'!$D$2</c:f>
              <c:strCache>
                <c:ptCount val="1"/>
                <c:pt idx="0">
                  <c:v>FVM-Central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'common graphs'!$B$3:$B$25</c:f>
              <c:numCache>
                <c:formatCode>General</c:formatCode>
                <c:ptCount val="23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  <c:pt idx="8">
                  <c:v>0</c:v>
                </c:pt>
                <c:pt idx="9">
                  <c:v>0.1</c:v>
                </c:pt>
                <c:pt idx="10">
                  <c:v>0.30000000000000004</c:v>
                </c:pt>
                <c:pt idx="11">
                  <c:v>0.5</c:v>
                </c:pt>
                <c:pt idx="12">
                  <c:v>0.7</c:v>
                </c:pt>
                <c:pt idx="13">
                  <c:v>0.89999999999999991</c:v>
                </c:pt>
                <c:pt idx="14">
                  <c:v>0.99999999999999989</c:v>
                </c:pt>
                <c:pt idx="16">
                  <c:v>0</c:v>
                </c:pt>
                <c:pt idx="17">
                  <c:v>0.1</c:v>
                </c:pt>
                <c:pt idx="18">
                  <c:v>0.30000000000000004</c:v>
                </c:pt>
                <c:pt idx="19">
                  <c:v>0.5</c:v>
                </c:pt>
                <c:pt idx="20">
                  <c:v>0.7</c:v>
                </c:pt>
                <c:pt idx="21">
                  <c:v>0.89999999999999991</c:v>
                </c:pt>
                <c:pt idx="22">
                  <c:v>0.99999999999999989</c:v>
                </c:pt>
              </c:numCache>
            </c:numRef>
          </c:xVal>
          <c:yVal>
            <c:numRef>
              <c:f>'common graphs'!$D$3:$D$25</c:f>
              <c:numCache>
                <c:formatCode>General</c:formatCode>
                <c:ptCount val="23"/>
                <c:pt idx="8">
                  <c:v>1</c:v>
                </c:pt>
                <c:pt idx="9">
                  <c:v>0.9421099586282623</c:v>
                </c:pt>
                <c:pt idx="10">
                  <c:v>0.80060096860845886</c:v>
                </c:pt>
                <c:pt idx="11">
                  <c:v>0.62764553636203246</c:v>
                </c:pt>
                <c:pt idx="12">
                  <c:v>0.41625556361639998</c:v>
                </c:pt>
                <c:pt idx="13">
                  <c:v>0.15789004137173793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63-47DB-9274-83AC61409638}"/>
            </c:ext>
          </c:extLst>
        </c:ser>
        <c:ser>
          <c:idx val="2"/>
          <c:order val="2"/>
          <c:tx>
            <c:strRef>
              <c:f>'common graphs'!$E$2</c:f>
              <c:strCache>
                <c:ptCount val="1"/>
                <c:pt idx="0">
                  <c:v>FVM-Hybrid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'common graphs'!$B$3:$B$25</c:f>
              <c:numCache>
                <c:formatCode>General</c:formatCode>
                <c:ptCount val="23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  <c:pt idx="8">
                  <c:v>0</c:v>
                </c:pt>
                <c:pt idx="9">
                  <c:v>0.1</c:v>
                </c:pt>
                <c:pt idx="10">
                  <c:v>0.30000000000000004</c:v>
                </c:pt>
                <c:pt idx="11">
                  <c:v>0.5</c:v>
                </c:pt>
                <c:pt idx="12">
                  <c:v>0.7</c:v>
                </c:pt>
                <c:pt idx="13">
                  <c:v>0.89999999999999991</c:v>
                </c:pt>
                <c:pt idx="14">
                  <c:v>0.99999999999999989</c:v>
                </c:pt>
                <c:pt idx="16">
                  <c:v>0</c:v>
                </c:pt>
                <c:pt idx="17">
                  <c:v>0.1</c:v>
                </c:pt>
                <c:pt idx="18">
                  <c:v>0.30000000000000004</c:v>
                </c:pt>
                <c:pt idx="19">
                  <c:v>0.5</c:v>
                </c:pt>
                <c:pt idx="20">
                  <c:v>0.7</c:v>
                </c:pt>
                <c:pt idx="21">
                  <c:v>0.89999999999999991</c:v>
                </c:pt>
                <c:pt idx="22">
                  <c:v>0.99999999999999989</c:v>
                </c:pt>
              </c:numCache>
            </c:numRef>
          </c:xVal>
          <c:yVal>
            <c:numRef>
              <c:f>'common graphs'!$E$3:$E$25</c:f>
              <c:numCache>
                <c:formatCode>General</c:formatCode>
                <c:ptCount val="23"/>
                <c:pt idx="16">
                  <c:v>1</c:v>
                </c:pt>
                <c:pt idx="17">
                  <c:v>0.94118126944823721</c:v>
                </c:pt>
                <c:pt idx="18">
                  <c:v>0.79740215032170569</c:v>
                </c:pt>
                <c:pt idx="19">
                  <c:v>0.62167211583372295</c:v>
                </c:pt>
                <c:pt idx="20">
                  <c:v>0.40689096257063256</c:v>
                </c:pt>
                <c:pt idx="21">
                  <c:v>0.14438066413796641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63-47DB-9274-83AC61409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666111"/>
        <c:axId val="1134662271"/>
      </c:scatterChart>
      <c:valAx>
        <c:axId val="1134666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(m)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34662271"/>
        <c:crosses val="autoZero"/>
        <c:crossBetween val="midCat"/>
      </c:valAx>
      <c:valAx>
        <c:axId val="113466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φ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346661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u=2.5m/s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'common graphs'!$Q$2</c:f>
              <c:strCache>
                <c:ptCount val="1"/>
                <c:pt idx="0">
                  <c:v>Analytical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'common graphs'!$P$3:$P$25</c:f>
              <c:numCache>
                <c:formatCode>General</c:formatCode>
                <c:ptCount val="23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  <c:pt idx="8">
                  <c:v>0</c:v>
                </c:pt>
                <c:pt idx="9">
                  <c:v>0.1</c:v>
                </c:pt>
                <c:pt idx="10">
                  <c:v>0.30000000000000004</c:v>
                </c:pt>
                <c:pt idx="11">
                  <c:v>0.5</c:v>
                </c:pt>
                <c:pt idx="12">
                  <c:v>0.7</c:v>
                </c:pt>
                <c:pt idx="13">
                  <c:v>0.89999999999999991</c:v>
                </c:pt>
                <c:pt idx="14">
                  <c:v>0.99999999999999989</c:v>
                </c:pt>
                <c:pt idx="16">
                  <c:v>0</c:v>
                </c:pt>
                <c:pt idx="17">
                  <c:v>0.1</c:v>
                </c:pt>
                <c:pt idx="18">
                  <c:v>0.30000000000000004</c:v>
                </c:pt>
                <c:pt idx="19">
                  <c:v>0.5</c:v>
                </c:pt>
                <c:pt idx="20">
                  <c:v>0.7</c:v>
                </c:pt>
                <c:pt idx="21">
                  <c:v>0.89999999999999991</c:v>
                </c:pt>
                <c:pt idx="22">
                  <c:v>0.99999999999999989</c:v>
                </c:pt>
              </c:numCache>
            </c:numRef>
          </c:xVal>
          <c:yVal>
            <c:numRef>
              <c:f>'common graphs'!$Q$3:$Q$25</c:f>
              <c:numCache>
                <c:formatCode>General</c:formatCode>
                <c:ptCount val="23"/>
                <c:pt idx="0">
                  <c:v>1</c:v>
                </c:pt>
                <c:pt idx="1">
                  <c:v>0.99999999984469812</c:v>
                </c:pt>
                <c:pt idx="2">
                  <c:v>0.99999997490389636</c:v>
                </c:pt>
                <c:pt idx="3">
                  <c:v>0.99999627336071584</c:v>
                </c:pt>
                <c:pt idx="4">
                  <c:v>0.99944691564373245</c:v>
                </c:pt>
                <c:pt idx="5">
                  <c:v>0.91791500138884918</c:v>
                </c:pt>
                <c:pt idx="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A0-40EF-8C70-757300829DBF}"/>
            </c:ext>
          </c:extLst>
        </c:ser>
        <c:ser>
          <c:idx val="1"/>
          <c:order val="1"/>
          <c:tx>
            <c:strRef>
              <c:f>'common graphs'!$R$2</c:f>
              <c:strCache>
                <c:ptCount val="1"/>
                <c:pt idx="0">
                  <c:v>FVM-Central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'common graphs'!$P$3:$P$25</c:f>
              <c:numCache>
                <c:formatCode>General</c:formatCode>
                <c:ptCount val="23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  <c:pt idx="8">
                  <c:v>0</c:v>
                </c:pt>
                <c:pt idx="9">
                  <c:v>0.1</c:v>
                </c:pt>
                <c:pt idx="10">
                  <c:v>0.30000000000000004</c:v>
                </c:pt>
                <c:pt idx="11">
                  <c:v>0.5</c:v>
                </c:pt>
                <c:pt idx="12">
                  <c:v>0.7</c:v>
                </c:pt>
                <c:pt idx="13">
                  <c:v>0.89999999999999991</c:v>
                </c:pt>
                <c:pt idx="14">
                  <c:v>0.99999999999999989</c:v>
                </c:pt>
                <c:pt idx="16">
                  <c:v>0</c:v>
                </c:pt>
                <c:pt idx="17">
                  <c:v>0.1</c:v>
                </c:pt>
                <c:pt idx="18">
                  <c:v>0.30000000000000004</c:v>
                </c:pt>
                <c:pt idx="19">
                  <c:v>0.5</c:v>
                </c:pt>
                <c:pt idx="20">
                  <c:v>0.7</c:v>
                </c:pt>
                <c:pt idx="21">
                  <c:v>0.89999999999999991</c:v>
                </c:pt>
                <c:pt idx="22">
                  <c:v>0.99999999999999989</c:v>
                </c:pt>
              </c:numCache>
            </c:numRef>
          </c:xVal>
          <c:yVal>
            <c:numRef>
              <c:f>'common graphs'!$R$3:$R$25</c:f>
              <c:numCache>
                <c:formatCode>General</c:formatCode>
                <c:ptCount val="23"/>
                <c:pt idx="8">
                  <c:v>1</c:v>
                </c:pt>
                <c:pt idx="9">
                  <c:v>1.0356304985337244</c:v>
                </c:pt>
                <c:pt idx="10">
                  <c:v>0.86935483870967745</c:v>
                </c:pt>
                <c:pt idx="11">
                  <c:v>1.2573313782991202</c:v>
                </c:pt>
                <c:pt idx="12">
                  <c:v>0.35205278592375366</c:v>
                </c:pt>
                <c:pt idx="13">
                  <c:v>2.4643695014662756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A0-40EF-8C70-757300829DBF}"/>
            </c:ext>
          </c:extLst>
        </c:ser>
        <c:ser>
          <c:idx val="2"/>
          <c:order val="2"/>
          <c:tx>
            <c:strRef>
              <c:f>'common graphs'!$S$2</c:f>
              <c:strCache>
                <c:ptCount val="1"/>
                <c:pt idx="0">
                  <c:v>FVM-Hybrid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'common graphs'!$P$3:$P$25</c:f>
              <c:numCache>
                <c:formatCode>General</c:formatCode>
                <c:ptCount val="23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0.99999999999999989</c:v>
                </c:pt>
                <c:pt idx="8">
                  <c:v>0</c:v>
                </c:pt>
                <c:pt idx="9">
                  <c:v>0.1</c:v>
                </c:pt>
                <c:pt idx="10">
                  <c:v>0.30000000000000004</c:v>
                </c:pt>
                <c:pt idx="11">
                  <c:v>0.5</c:v>
                </c:pt>
                <c:pt idx="12">
                  <c:v>0.7</c:v>
                </c:pt>
                <c:pt idx="13">
                  <c:v>0.89999999999999991</c:v>
                </c:pt>
                <c:pt idx="14">
                  <c:v>0.99999999999999989</c:v>
                </c:pt>
                <c:pt idx="16">
                  <c:v>0</c:v>
                </c:pt>
                <c:pt idx="17">
                  <c:v>0.1</c:v>
                </c:pt>
                <c:pt idx="18">
                  <c:v>0.30000000000000004</c:v>
                </c:pt>
                <c:pt idx="19">
                  <c:v>0.5</c:v>
                </c:pt>
                <c:pt idx="20">
                  <c:v>0.7</c:v>
                </c:pt>
                <c:pt idx="21">
                  <c:v>0.89999999999999991</c:v>
                </c:pt>
                <c:pt idx="22">
                  <c:v>0.99999999999999989</c:v>
                </c:pt>
              </c:numCache>
            </c:numRef>
          </c:xVal>
          <c:yVal>
            <c:numRef>
              <c:f>'common graphs'!$S$3:$S$25</c:f>
              <c:numCache>
                <c:formatCode>General</c:formatCode>
                <c:ptCount val="23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0.7142857142857143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A0-40EF-8C70-757300829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120911"/>
        <c:axId val="1255123311"/>
      </c:scatterChart>
      <c:valAx>
        <c:axId val="1255120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(m)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55123311"/>
        <c:crosses val="autoZero"/>
        <c:crossBetween val="midCat"/>
      </c:valAx>
      <c:valAx>
        <c:axId val="125512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φ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55120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chart" Target="../charts/chart3.xml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chart" Target="../charts/chart4.xml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chart" Target="../charts/chart5.xml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chart" Target="../charts/chart6.xml"/><Relationship Id="rId4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34636</xdr:colOff>
      <xdr:row>7</xdr:row>
      <xdr:rowOff>167640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90AAD62E-D0EB-4B72-966D-749122240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5521036" cy="1447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10</xdr:col>
      <xdr:colOff>488554</xdr:colOff>
      <xdr:row>21</xdr:row>
      <xdr:rowOff>169115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6FD61289-2AAC-4A42-A59F-28EBBEAB3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291840"/>
          <a:ext cx="5974954" cy="71775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9</xdr:col>
      <xdr:colOff>9696</xdr:colOff>
      <xdr:row>13</xdr:row>
      <xdr:rowOff>41992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3808C49A-C816-E22B-6E02-B85855448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67200" y="1828800"/>
          <a:ext cx="1228896" cy="5906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7</xdr:col>
      <xdr:colOff>581617</xdr:colOff>
      <xdr:row>26</xdr:row>
      <xdr:rowOff>177241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0B0D771E-3DD4-AD3C-4346-35D7106B7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4389120"/>
          <a:ext cx="423921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8</xdr:col>
      <xdr:colOff>15240</xdr:colOff>
      <xdr:row>35</xdr:row>
      <xdr:rowOff>179139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54E02D19-03C7-96BA-8B40-4C620BBC4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5486400"/>
          <a:ext cx="4282440" cy="109353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12</xdr:col>
      <xdr:colOff>40189</xdr:colOff>
      <xdr:row>37</xdr:row>
      <xdr:rowOff>144779</xdr:rowOff>
    </xdr:to>
    <xdr:pic>
      <xdr:nvPicPr>
        <xdr:cNvPr id="7" name="Εικόνα 6">
          <a:extLst>
            <a:ext uri="{FF2B5EF4-FFF2-40B4-BE49-F238E27FC236}">
              <a16:creationId xmlns:a16="http://schemas.microsoft.com/office/drawing/2014/main" id="{819E1D75-8CA1-F839-4862-7B3AE4909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0" y="5486400"/>
          <a:ext cx="1868989" cy="142493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1</xdr:rowOff>
    </xdr:from>
    <xdr:to>
      <xdr:col>15</xdr:col>
      <xdr:colOff>585257</xdr:colOff>
      <xdr:row>37</xdr:row>
      <xdr:rowOff>175261</xdr:rowOff>
    </xdr:to>
    <xdr:pic>
      <xdr:nvPicPr>
        <xdr:cNvPr id="8" name="Εικόνα 7">
          <a:extLst>
            <a:ext uri="{FF2B5EF4-FFF2-40B4-BE49-F238E27FC236}">
              <a16:creationId xmlns:a16="http://schemas.microsoft.com/office/drawing/2014/main" id="{C9C86D2F-EEB8-1245-073D-29F8790C0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24800" y="5486401"/>
          <a:ext cx="1804457" cy="1455420"/>
        </a:xfrm>
        <a:prstGeom prst="rect">
          <a:avLst/>
        </a:prstGeom>
      </xdr:spPr>
    </xdr:pic>
    <xdr:clientData/>
  </xdr:twoCellAnchor>
  <xdr:twoCellAnchor editAs="oneCell">
    <xdr:from>
      <xdr:col>8</xdr:col>
      <xdr:colOff>137160</xdr:colOff>
      <xdr:row>63</xdr:row>
      <xdr:rowOff>121920</xdr:rowOff>
    </xdr:from>
    <xdr:to>
      <xdr:col>10</xdr:col>
      <xdr:colOff>270699</xdr:colOff>
      <xdr:row>66</xdr:row>
      <xdr:rowOff>59123</xdr:rowOff>
    </xdr:to>
    <xdr:pic>
      <xdr:nvPicPr>
        <xdr:cNvPr id="9" name="Εικόνα 8">
          <a:extLst>
            <a:ext uri="{FF2B5EF4-FFF2-40B4-BE49-F238E27FC236}">
              <a16:creationId xmlns:a16="http://schemas.microsoft.com/office/drawing/2014/main" id="{55806930-B952-2170-94E7-AA8CFF5B2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13960" y="11643360"/>
          <a:ext cx="1352739" cy="485843"/>
        </a:xfrm>
        <a:prstGeom prst="rect">
          <a:avLst/>
        </a:prstGeom>
      </xdr:spPr>
    </xdr:pic>
    <xdr:clientData/>
  </xdr:twoCellAnchor>
  <xdr:twoCellAnchor>
    <xdr:from>
      <xdr:col>7</xdr:col>
      <xdr:colOff>510540</xdr:colOff>
      <xdr:row>62</xdr:row>
      <xdr:rowOff>121920</xdr:rowOff>
    </xdr:from>
    <xdr:to>
      <xdr:col>15</xdr:col>
      <xdr:colOff>205740</xdr:colOff>
      <xdr:row>77</xdr:row>
      <xdr:rowOff>121920</xdr:rowOff>
    </xdr:to>
    <xdr:graphicFrame macro="">
      <xdr:nvGraphicFramePr>
        <xdr:cNvPr id="10" name="Γράφημα 9">
          <a:extLst>
            <a:ext uri="{FF2B5EF4-FFF2-40B4-BE49-F238E27FC236}">
              <a16:creationId xmlns:a16="http://schemas.microsoft.com/office/drawing/2014/main" id="{76B6E96C-04BE-3109-7A2C-CAB7D18E7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12</xdr:row>
      <xdr:rowOff>7464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512B34A4-68F1-4C48-BF06-9D3E87AD4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600200" cy="22020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8</xdr:col>
      <xdr:colOff>570203</xdr:colOff>
      <xdr:row>28</xdr:row>
      <xdr:rowOff>91162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D3D29C40-DA34-4F43-9AAC-D83DC2CAE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452730"/>
          <a:ext cx="4837403" cy="8332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257721</xdr:colOff>
      <xdr:row>31</xdr:row>
      <xdr:rowOff>176471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B38CB19E-1B9C-AC40-3851-424311C85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565913"/>
          <a:ext cx="391532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34</xdr:row>
      <xdr:rowOff>0</xdr:rowOff>
    </xdr:from>
    <xdr:to>
      <xdr:col>5</xdr:col>
      <xdr:colOff>318053</xdr:colOff>
      <xdr:row>42</xdr:row>
      <xdr:rowOff>43619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5C6C43B4-3CE2-877C-6D12-84512D230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1" y="6308035"/>
          <a:ext cx="2756452" cy="152786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9</xdr:col>
      <xdr:colOff>550607</xdr:colOff>
      <xdr:row>42</xdr:row>
      <xdr:rowOff>119270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1B497158-8F2F-52C0-F40B-886659758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57600" y="6308035"/>
          <a:ext cx="2379407" cy="160351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13</xdr:col>
      <xdr:colOff>514233</xdr:colOff>
      <xdr:row>42</xdr:row>
      <xdr:rowOff>119270</xdr:rowOff>
    </xdr:to>
    <xdr:pic>
      <xdr:nvPicPr>
        <xdr:cNvPr id="7" name="Εικόνα 6">
          <a:extLst>
            <a:ext uri="{FF2B5EF4-FFF2-40B4-BE49-F238E27FC236}">
              <a16:creationId xmlns:a16="http://schemas.microsoft.com/office/drawing/2014/main" id="{631505E0-229A-A849-B225-E52C1E400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0" y="6308035"/>
          <a:ext cx="2343033" cy="1603513"/>
        </a:xfrm>
        <a:prstGeom prst="rect">
          <a:avLst/>
        </a:prstGeom>
      </xdr:spPr>
    </xdr:pic>
    <xdr:clientData/>
  </xdr:twoCellAnchor>
  <xdr:twoCellAnchor editAs="oneCell">
    <xdr:from>
      <xdr:col>1</xdr:col>
      <xdr:colOff>437322</xdr:colOff>
      <xdr:row>77</xdr:row>
      <xdr:rowOff>159026</xdr:rowOff>
    </xdr:from>
    <xdr:to>
      <xdr:col>6</xdr:col>
      <xdr:colOff>18589</xdr:colOff>
      <xdr:row>81</xdr:row>
      <xdr:rowOff>17063</xdr:rowOff>
    </xdr:to>
    <xdr:pic>
      <xdr:nvPicPr>
        <xdr:cNvPr id="8" name="Εικόνα 7">
          <a:extLst>
            <a:ext uri="{FF2B5EF4-FFF2-40B4-BE49-F238E27FC236}">
              <a16:creationId xmlns:a16="http://schemas.microsoft.com/office/drawing/2014/main" id="{DABDD99C-B6F6-3D9F-5B6D-17E422B1A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6922" y="14444869"/>
          <a:ext cx="2629267" cy="600159"/>
        </a:xfrm>
        <a:prstGeom prst="rect">
          <a:avLst/>
        </a:prstGeom>
      </xdr:spPr>
    </xdr:pic>
    <xdr:clientData/>
  </xdr:twoCellAnchor>
  <xdr:twoCellAnchor>
    <xdr:from>
      <xdr:col>7</xdr:col>
      <xdr:colOff>583096</xdr:colOff>
      <xdr:row>70</xdr:row>
      <xdr:rowOff>125896</xdr:rowOff>
    </xdr:from>
    <xdr:to>
      <xdr:col>15</xdr:col>
      <xdr:colOff>278296</xdr:colOff>
      <xdr:row>85</xdr:row>
      <xdr:rowOff>86139</xdr:rowOff>
    </xdr:to>
    <xdr:graphicFrame macro="">
      <xdr:nvGraphicFramePr>
        <xdr:cNvPr id="9" name="Γράφημα 8">
          <a:extLst>
            <a:ext uri="{FF2B5EF4-FFF2-40B4-BE49-F238E27FC236}">
              <a16:creationId xmlns:a16="http://schemas.microsoft.com/office/drawing/2014/main" id="{C2747A23-7BE2-EDF1-760D-B9943B73B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518160</xdr:colOff>
      <xdr:row>5</xdr:row>
      <xdr:rowOff>44780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5394960" cy="7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8</xdr:col>
      <xdr:colOff>152400</xdr:colOff>
      <xdr:row>24</xdr:row>
      <xdr:rowOff>144724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291840"/>
          <a:ext cx="4419600" cy="124200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11</xdr:col>
      <xdr:colOff>134219</xdr:colOff>
      <xdr:row>31</xdr:row>
      <xdr:rowOff>2007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EC8B9DB6-68FC-BD8E-D500-589CB0073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4937760"/>
          <a:ext cx="6230219" cy="7335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1</xdr:rowOff>
    </xdr:from>
    <xdr:to>
      <xdr:col>8</xdr:col>
      <xdr:colOff>134083</xdr:colOff>
      <xdr:row>48</xdr:row>
      <xdr:rowOff>129541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B910FE31-1607-4C91-57D2-77D34C240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852161"/>
          <a:ext cx="4401283" cy="305562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83</xdr:row>
      <xdr:rowOff>129540</xdr:rowOff>
    </xdr:from>
    <xdr:to>
      <xdr:col>5</xdr:col>
      <xdr:colOff>105098</xdr:colOff>
      <xdr:row>86</xdr:row>
      <xdr:rowOff>162006</xdr:rowOff>
    </xdr:to>
    <xdr:pic>
      <xdr:nvPicPr>
        <xdr:cNvPr id="7" name="Εικόνα 6">
          <a:extLst>
            <a:ext uri="{FF2B5EF4-FFF2-40B4-BE49-F238E27FC236}">
              <a16:creationId xmlns:a16="http://schemas.microsoft.com/office/drawing/2014/main" id="{C321E544-A9DC-3E11-2CA4-715E07299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00" y="15308580"/>
          <a:ext cx="2314898" cy="581106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75</xdr:row>
      <xdr:rowOff>167640</xdr:rowOff>
    </xdr:from>
    <xdr:to>
      <xdr:col>15</xdr:col>
      <xdr:colOff>304800</xdr:colOff>
      <xdr:row>90</xdr:row>
      <xdr:rowOff>167640</xdr:rowOff>
    </xdr:to>
    <xdr:graphicFrame macro="">
      <xdr:nvGraphicFramePr>
        <xdr:cNvPr id="8" name="Γράφημα 7">
          <a:extLst>
            <a:ext uri="{FF2B5EF4-FFF2-40B4-BE49-F238E27FC236}">
              <a16:creationId xmlns:a16="http://schemas.microsoft.com/office/drawing/2014/main" id="{0F2BAC0D-215E-76A4-B02C-4867410AB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518160</xdr:colOff>
      <xdr:row>5</xdr:row>
      <xdr:rowOff>44780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6514D718-F272-44DD-BA89-197DA1136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5394960" cy="7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8</xdr:col>
      <xdr:colOff>152400</xdr:colOff>
      <xdr:row>24</xdr:row>
      <xdr:rowOff>144724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2AED1ECF-E0C1-4D37-8587-D3EE4FA71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291840"/>
          <a:ext cx="4419600" cy="124200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11</xdr:col>
      <xdr:colOff>134219</xdr:colOff>
      <xdr:row>31</xdr:row>
      <xdr:rowOff>2007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2E99D8A5-C3B7-4317-A428-9914D219E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4937760"/>
          <a:ext cx="6230219" cy="7335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1</xdr:rowOff>
    </xdr:from>
    <xdr:to>
      <xdr:col>8</xdr:col>
      <xdr:colOff>134083</xdr:colOff>
      <xdr:row>48</xdr:row>
      <xdr:rowOff>129541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5125B0C9-322A-4A85-AE0F-D9D5C2B2A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852161"/>
          <a:ext cx="4401283" cy="305562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83</xdr:row>
      <xdr:rowOff>129540</xdr:rowOff>
    </xdr:from>
    <xdr:to>
      <xdr:col>5</xdr:col>
      <xdr:colOff>105098</xdr:colOff>
      <xdr:row>86</xdr:row>
      <xdr:rowOff>162006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B574AD62-D1A3-4080-AFF9-DD65E71AC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00" y="15308580"/>
          <a:ext cx="2314898" cy="581106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75</xdr:row>
      <xdr:rowOff>167640</xdr:rowOff>
    </xdr:from>
    <xdr:to>
      <xdr:col>15</xdr:col>
      <xdr:colOff>304800</xdr:colOff>
      <xdr:row>90</xdr:row>
      <xdr:rowOff>167640</xdr:rowOff>
    </xdr:to>
    <xdr:graphicFrame macro="">
      <xdr:nvGraphicFramePr>
        <xdr:cNvPr id="7" name="Γράφημα 6">
          <a:extLst>
            <a:ext uri="{FF2B5EF4-FFF2-40B4-BE49-F238E27FC236}">
              <a16:creationId xmlns:a16="http://schemas.microsoft.com/office/drawing/2014/main" id="{04942EB7-64E0-4E47-B327-F620DB627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518160</xdr:colOff>
      <xdr:row>5</xdr:row>
      <xdr:rowOff>44780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66D821CB-AD95-4B48-AF59-526590BA6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5394960" cy="7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8</xdr:col>
      <xdr:colOff>152400</xdr:colOff>
      <xdr:row>24</xdr:row>
      <xdr:rowOff>144724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A9426467-F35E-4697-B9EF-A3C395764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291840"/>
          <a:ext cx="4419600" cy="124200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11</xdr:col>
      <xdr:colOff>134219</xdr:colOff>
      <xdr:row>31</xdr:row>
      <xdr:rowOff>2007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F256336B-CFEB-4DB0-BAE8-8F26F254D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4937760"/>
          <a:ext cx="6230219" cy="733527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83</xdr:row>
      <xdr:rowOff>129540</xdr:rowOff>
    </xdr:from>
    <xdr:to>
      <xdr:col>5</xdr:col>
      <xdr:colOff>105098</xdr:colOff>
      <xdr:row>86</xdr:row>
      <xdr:rowOff>162006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9D1F2128-82F8-4F57-97E6-A8F28547C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" y="15308580"/>
          <a:ext cx="2314898" cy="581106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75</xdr:row>
      <xdr:rowOff>167640</xdr:rowOff>
    </xdr:from>
    <xdr:to>
      <xdr:col>15</xdr:col>
      <xdr:colOff>304800</xdr:colOff>
      <xdr:row>90</xdr:row>
      <xdr:rowOff>167640</xdr:rowOff>
    </xdr:to>
    <xdr:graphicFrame macro="">
      <xdr:nvGraphicFramePr>
        <xdr:cNvPr id="7" name="Γράφημα 6">
          <a:extLst>
            <a:ext uri="{FF2B5EF4-FFF2-40B4-BE49-F238E27FC236}">
              <a16:creationId xmlns:a16="http://schemas.microsoft.com/office/drawing/2014/main" id="{A897F54F-4F1E-42B9-8647-65655EBDC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32</xdr:row>
      <xdr:rowOff>0</xdr:rowOff>
    </xdr:from>
    <xdr:to>
      <xdr:col>7</xdr:col>
      <xdr:colOff>368381</xdr:colOff>
      <xdr:row>40</xdr:row>
      <xdr:rowOff>137160</xdr:rowOff>
    </xdr:to>
    <xdr:pic>
      <xdr:nvPicPr>
        <xdr:cNvPr id="8" name="Εικόνα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52160"/>
          <a:ext cx="4025981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16</xdr:col>
      <xdr:colOff>164691</xdr:colOff>
      <xdr:row>49</xdr:row>
      <xdr:rowOff>111259</xdr:rowOff>
    </xdr:to>
    <xdr:pic>
      <xdr:nvPicPr>
        <xdr:cNvPr id="9" name="Εικόνα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5852160"/>
          <a:ext cx="5041491" cy="3220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518160</xdr:colOff>
      <xdr:row>5</xdr:row>
      <xdr:rowOff>44780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59DF03F-96D5-47DC-8CF9-71006DA3F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5394960" cy="7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8</xdr:col>
      <xdr:colOff>152400</xdr:colOff>
      <xdr:row>24</xdr:row>
      <xdr:rowOff>144724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DB7A02F0-72F5-4ACD-ABB3-248B45B9A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291840"/>
          <a:ext cx="4419600" cy="124200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11</xdr:col>
      <xdr:colOff>134219</xdr:colOff>
      <xdr:row>31</xdr:row>
      <xdr:rowOff>2007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14B1DB04-D286-4DA2-A558-5EBFD00F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4937760"/>
          <a:ext cx="6230219" cy="733527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83</xdr:row>
      <xdr:rowOff>129540</xdr:rowOff>
    </xdr:from>
    <xdr:to>
      <xdr:col>5</xdr:col>
      <xdr:colOff>105098</xdr:colOff>
      <xdr:row>86</xdr:row>
      <xdr:rowOff>162006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CCA63CD9-A272-45BE-8782-4C70736E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" y="15308580"/>
          <a:ext cx="2314898" cy="581106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75</xdr:row>
      <xdr:rowOff>167640</xdr:rowOff>
    </xdr:from>
    <xdr:to>
      <xdr:col>15</xdr:col>
      <xdr:colOff>304800</xdr:colOff>
      <xdr:row>90</xdr:row>
      <xdr:rowOff>167640</xdr:rowOff>
    </xdr:to>
    <xdr:graphicFrame macro="">
      <xdr:nvGraphicFramePr>
        <xdr:cNvPr id="6" name="Γράφημα 5">
          <a:extLst>
            <a:ext uri="{FF2B5EF4-FFF2-40B4-BE49-F238E27FC236}">
              <a16:creationId xmlns:a16="http://schemas.microsoft.com/office/drawing/2014/main" id="{504258FB-3A15-4370-9E95-7BF5441CC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32</xdr:row>
      <xdr:rowOff>0</xdr:rowOff>
    </xdr:from>
    <xdr:to>
      <xdr:col>7</xdr:col>
      <xdr:colOff>368381</xdr:colOff>
      <xdr:row>40</xdr:row>
      <xdr:rowOff>137160</xdr:rowOff>
    </xdr:to>
    <xdr:pic>
      <xdr:nvPicPr>
        <xdr:cNvPr id="7" name="Εικόνα 6">
          <a:extLst>
            <a:ext uri="{FF2B5EF4-FFF2-40B4-BE49-F238E27FC236}">
              <a16:creationId xmlns:a16="http://schemas.microsoft.com/office/drawing/2014/main" id="{A79C545D-7915-449A-AFFE-B11E1701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52160"/>
          <a:ext cx="4025981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16</xdr:col>
      <xdr:colOff>164691</xdr:colOff>
      <xdr:row>49</xdr:row>
      <xdr:rowOff>111259</xdr:rowOff>
    </xdr:to>
    <xdr:pic>
      <xdr:nvPicPr>
        <xdr:cNvPr id="8" name="Εικόνα 7">
          <a:extLst>
            <a:ext uri="{FF2B5EF4-FFF2-40B4-BE49-F238E27FC236}">
              <a16:creationId xmlns:a16="http://schemas.microsoft.com/office/drawing/2014/main" id="{5915A89A-0A83-461F-974F-50135FEB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5852160"/>
          <a:ext cx="5041491" cy="3220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601980</xdr:colOff>
      <xdr:row>2</xdr:row>
      <xdr:rowOff>22860</xdr:rowOff>
    </xdr:from>
    <xdr:to>
      <xdr:col>13</xdr:col>
      <xdr:colOff>297180</xdr:colOff>
      <xdr:row>17</xdr:row>
      <xdr:rowOff>22860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09BBCA6A-4B90-BF2C-EEE9-43DAFC340E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17</xdr:row>
      <xdr:rowOff>152400</xdr:rowOff>
    </xdr:from>
    <xdr:to>
      <xdr:col>13</xdr:col>
      <xdr:colOff>419100</xdr:colOff>
      <xdr:row>32</xdr:row>
      <xdr:rowOff>152400</xdr:rowOff>
    </xdr:to>
    <xdr:graphicFrame macro="">
      <xdr:nvGraphicFramePr>
        <xdr:cNvPr id="4" name="Γράφημα 3">
          <a:extLst>
            <a:ext uri="{FF2B5EF4-FFF2-40B4-BE49-F238E27FC236}">
              <a16:creationId xmlns:a16="http://schemas.microsoft.com/office/drawing/2014/main" id="{AB18D4F6-DA0F-E6F2-AAFF-C476F14F0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41DE1-2A8A-45F8-9189-BF13F70792A3}">
  <dimension ref="B10:P71"/>
  <sheetViews>
    <sheetView topLeftCell="A46" workbookViewId="0">
      <selection activeCell="I62" sqref="I62"/>
    </sheetView>
  </sheetViews>
  <sheetFormatPr defaultRowHeight="14.4" x14ac:dyDescent="0.3"/>
  <sheetData>
    <row r="10" spans="2:8" x14ac:dyDescent="0.3">
      <c r="B10" t="s">
        <v>0</v>
      </c>
      <c r="C10">
        <v>0.5</v>
      </c>
      <c r="H10" t="s">
        <v>9</v>
      </c>
    </row>
    <row r="11" spans="2:8" x14ac:dyDescent="0.3">
      <c r="B11" t="s">
        <v>1</v>
      </c>
      <c r="C11">
        <v>0.01</v>
      </c>
    </row>
    <row r="12" spans="2:8" x14ac:dyDescent="0.3">
      <c r="B12" t="s">
        <v>2</v>
      </c>
      <c r="C12">
        <v>100</v>
      </c>
    </row>
    <row r="13" spans="2:8" x14ac:dyDescent="0.3">
      <c r="B13" t="s">
        <v>3</v>
      </c>
      <c r="C13">
        <v>500</v>
      </c>
    </row>
    <row r="14" spans="2:8" x14ac:dyDescent="0.3">
      <c r="B14" t="s">
        <v>4</v>
      </c>
      <c r="C14">
        <v>1000</v>
      </c>
    </row>
    <row r="15" spans="2:8" x14ac:dyDescent="0.3">
      <c r="B15" t="s">
        <v>5</v>
      </c>
      <c r="C15">
        <v>0.1</v>
      </c>
    </row>
    <row r="16" spans="2:8" x14ac:dyDescent="0.3">
      <c r="B16" t="s">
        <v>6</v>
      </c>
      <c r="C16">
        <f>C10/C15</f>
        <v>5</v>
      </c>
      <c r="D16" t="s">
        <v>7</v>
      </c>
      <c r="E16">
        <f>C16</f>
        <v>5</v>
      </c>
    </row>
    <row r="18" spans="2:14" x14ac:dyDescent="0.3">
      <c r="B18" t="s">
        <v>8</v>
      </c>
    </row>
    <row r="24" spans="2:14" x14ac:dyDescent="0.3">
      <c r="B24" t="s">
        <v>10</v>
      </c>
    </row>
    <row r="29" spans="2:14" x14ac:dyDescent="0.3">
      <c r="B29" t="s">
        <v>11</v>
      </c>
    </row>
    <row r="30" spans="2:14" x14ac:dyDescent="0.3">
      <c r="B30" t="s">
        <v>12</v>
      </c>
      <c r="J30" t="s">
        <v>13</v>
      </c>
      <c r="N30" t="s">
        <v>14</v>
      </c>
    </row>
    <row r="40" spans="2:7" x14ac:dyDescent="0.3">
      <c r="B40" t="s">
        <v>15</v>
      </c>
      <c r="C40">
        <v>1</v>
      </c>
      <c r="D40">
        <v>2</v>
      </c>
      <c r="E40">
        <v>3</v>
      </c>
      <c r="F40">
        <v>4</v>
      </c>
      <c r="G40">
        <v>5</v>
      </c>
    </row>
    <row r="41" spans="2:7" x14ac:dyDescent="0.3">
      <c r="B41" t="s">
        <v>16</v>
      </c>
      <c r="C41">
        <f>IF(C40=1,0,1/$C$15)</f>
        <v>0</v>
      </c>
      <c r="D41">
        <f t="shared" ref="D41:G41" si="0">IF(D40=1,0,1/$C$15)</f>
        <v>10</v>
      </c>
      <c r="E41">
        <f t="shared" si="0"/>
        <v>10</v>
      </c>
      <c r="F41">
        <f t="shared" si="0"/>
        <v>10</v>
      </c>
      <c r="G41">
        <f t="shared" si="0"/>
        <v>10</v>
      </c>
    </row>
    <row r="42" spans="2:7" x14ac:dyDescent="0.3">
      <c r="B42" t="s">
        <v>17</v>
      </c>
      <c r="C42">
        <f>IF(C40=5,0,1/$C$15)</f>
        <v>10</v>
      </c>
      <c r="D42">
        <f t="shared" ref="D42:G42" si="1">IF(D40=5,0,1/$C$15)</f>
        <v>10</v>
      </c>
      <c r="E42">
        <f t="shared" si="1"/>
        <v>10</v>
      </c>
      <c r="F42">
        <f t="shared" si="1"/>
        <v>10</v>
      </c>
      <c r="G42">
        <f t="shared" si="1"/>
        <v>0</v>
      </c>
    </row>
    <row r="43" spans="2:7" x14ac:dyDescent="0.3">
      <c r="B43" t="s">
        <v>18</v>
      </c>
      <c r="C43">
        <f>C41+C42</f>
        <v>10</v>
      </c>
      <c r="D43">
        <f t="shared" ref="D43:G43" si="2">D41+D42</f>
        <v>20</v>
      </c>
      <c r="E43">
        <f t="shared" si="2"/>
        <v>20</v>
      </c>
      <c r="F43">
        <f t="shared" si="2"/>
        <v>20</v>
      </c>
      <c r="G43">
        <f t="shared" si="2"/>
        <v>10</v>
      </c>
    </row>
    <row r="44" spans="2:7" x14ac:dyDescent="0.3">
      <c r="B44" t="s">
        <v>19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2:7" x14ac:dyDescent="0.3">
      <c r="B45" t="s">
        <v>20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2:7" x14ac:dyDescent="0.3">
      <c r="B46" t="s">
        <v>21</v>
      </c>
      <c r="C46">
        <f>IF(AND(C40&lt;&gt;1,C40&lt;&gt;5),0,(-2/$C$15))</f>
        <v>-20</v>
      </c>
      <c r="D46">
        <f t="shared" ref="D46:G46" si="3">IF(AND(D40&lt;&gt;1,D40&lt;&gt;5),0,(-2/$C$15))</f>
        <v>0</v>
      </c>
      <c r="E46">
        <f t="shared" si="3"/>
        <v>0</v>
      </c>
      <c r="F46">
        <f t="shared" si="3"/>
        <v>0</v>
      </c>
      <c r="G46">
        <f t="shared" si="3"/>
        <v>-20</v>
      </c>
    </row>
    <row r="47" spans="2:7" x14ac:dyDescent="0.3">
      <c r="B47" t="s">
        <v>22</v>
      </c>
      <c r="C47">
        <f>IF(C40=1,2*$C$12/$C$15,IF(C40=5,2*$C$13/$C$15,0))</f>
        <v>2000</v>
      </c>
      <c r="D47">
        <f t="shared" ref="D47:G47" si="4">IF(D40=1,2*$C$12/$C$15,IF(D40=5,2*$C$13/$C$15,0))</f>
        <v>0</v>
      </c>
      <c r="E47">
        <f t="shared" si="4"/>
        <v>0</v>
      </c>
      <c r="F47">
        <f t="shared" si="4"/>
        <v>0</v>
      </c>
      <c r="G47">
        <f t="shared" si="4"/>
        <v>10000</v>
      </c>
    </row>
    <row r="49" spans="2:16" x14ac:dyDescent="0.3">
      <c r="B49" t="s">
        <v>24</v>
      </c>
    </row>
    <row r="50" spans="2:16" x14ac:dyDescent="0.3">
      <c r="C50">
        <v>1</v>
      </c>
      <c r="D50">
        <v>2</v>
      </c>
      <c r="E50">
        <v>3</v>
      </c>
      <c r="F50">
        <v>4</v>
      </c>
      <c r="G50">
        <v>5</v>
      </c>
    </row>
    <row r="51" spans="2:16" x14ac:dyDescent="0.3">
      <c r="B51" t="s">
        <v>25</v>
      </c>
      <c r="C51">
        <f>C43-C44-C46</f>
        <v>30</v>
      </c>
      <c r="D51">
        <f t="shared" ref="D51:G51" si="5">D43-D44-D46</f>
        <v>20</v>
      </c>
      <c r="E51">
        <f t="shared" si="5"/>
        <v>20</v>
      </c>
      <c r="F51">
        <f t="shared" si="5"/>
        <v>20</v>
      </c>
      <c r="G51">
        <f t="shared" si="5"/>
        <v>30</v>
      </c>
    </row>
    <row r="52" spans="2:16" x14ac:dyDescent="0.3">
      <c r="B52" t="s">
        <v>26</v>
      </c>
      <c r="C52">
        <f>C41</f>
        <v>0</v>
      </c>
      <c r="D52">
        <f t="shared" ref="D52:G52" si="6">D41</f>
        <v>10</v>
      </c>
      <c r="E52">
        <f t="shared" si="6"/>
        <v>10</v>
      </c>
      <c r="F52">
        <f t="shared" si="6"/>
        <v>10</v>
      </c>
      <c r="G52">
        <f t="shared" si="6"/>
        <v>10</v>
      </c>
    </row>
    <row r="53" spans="2:16" x14ac:dyDescent="0.3">
      <c r="B53" t="s">
        <v>27</v>
      </c>
      <c r="C53">
        <f>C42</f>
        <v>10</v>
      </c>
      <c r="D53">
        <f t="shared" ref="D53:G53" si="7">D42</f>
        <v>10</v>
      </c>
      <c r="E53">
        <f t="shared" si="7"/>
        <v>10</v>
      </c>
      <c r="F53">
        <f t="shared" si="7"/>
        <v>10</v>
      </c>
      <c r="G53">
        <f t="shared" si="7"/>
        <v>0</v>
      </c>
    </row>
    <row r="54" spans="2:16" x14ac:dyDescent="0.3">
      <c r="B54" t="s">
        <v>30</v>
      </c>
      <c r="C54">
        <f>C45+C47</f>
        <v>2000</v>
      </c>
      <c r="D54">
        <f t="shared" ref="D54:G54" si="8">D45+D47</f>
        <v>0</v>
      </c>
      <c r="E54">
        <f t="shared" si="8"/>
        <v>0</v>
      </c>
      <c r="F54">
        <f t="shared" si="8"/>
        <v>0</v>
      </c>
      <c r="G54">
        <f t="shared" si="8"/>
        <v>10000</v>
      </c>
    </row>
    <row r="55" spans="2:16" x14ac:dyDescent="0.3">
      <c r="B55" t="s">
        <v>28</v>
      </c>
    </row>
    <row r="56" spans="2:16" x14ac:dyDescent="0.3">
      <c r="B56" t="s">
        <v>23</v>
      </c>
      <c r="I56" t="s">
        <v>29</v>
      </c>
      <c r="L56" t="s">
        <v>31</v>
      </c>
    </row>
    <row r="57" spans="2:16" x14ac:dyDescent="0.3">
      <c r="C57">
        <v>1</v>
      </c>
      <c r="D57">
        <v>2</v>
      </c>
      <c r="E57">
        <v>3</v>
      </c>
      <c r="F57">
        <v>4</v>
      </c>
      <c r="G57">
        <v>5</v>
      </c>
    </row>
    <row r="58" spans="2:16" x14ac:dyDescent="0.3">
      <c r="B58">
        <v>1</v>
      </c>
      <c r="C58">
        <f>C51</f>
        <v>30</v>
      </c>
      <c r="D58">
        <f>-D53</f>
        <v>-10</v>
      </c>
      <c r="E58">
        <v>0</v>
      </c>
      <c r="F58">
        <v>0</v>
      </c>
      <c r="G58">
        <v>0</v>
      </c>
      <c r="I58">
        <f>C54</f>
        <v>2000</v>
      </c>
      <c r="L58" cm="1">
        <f t="array" ref="L58:P62">MINVERSE(C58:G62)</f>
        <v>4.5000000000000005E-2</v>
      </c>
      <c r="M58">
        <v>3.4999999999999996E-2</v>
      </c>
      <c r="N58">
        <v>2.5000000000000001E-2</v>
      </c>
      <c r="O58">
        <v>1.4999999999999998E-2</v>
      </c>
      <c r="P58">
        <v>4.9999999999999992E-3</v>
      </c>
    </row>
    <row r="59" spans="2:16" x14ac:dyDescent="0.3">
      <c r="B59">
        <v>2</v>
      </c>
      <c r="C59">
        <f>-D52</f>
        <v>-10</v>
      </c>
      <c r="D59">
        <f>D51</f>
        <v>20</v>
      </c>
      <c r="E59">
        <f>-E52</f>
        <v>-10</v>
      </c>
      <c r="F59">
        <v>0</v>
      </c>
      <c r="G59">
        <v>0</v>
      </c>
      <c r="I59">
        <f>$D$54</f>
        <v>0</v>
      </c>
      <c r="L59">
        <v>3.4999999999999996E-2</v>
      </c>
      <c r="M59">
        <v>0.10499999999999998</v>
      </c>
      <c r="N59">
        <v>7.4999999999999997E-2</v>
      </c>
      <c r="O59">
        <v>4.4999999999999998E-2</v>
      </c>
      <c r="P59">
        <v>1.4999999999999998E-2</v>
      </c>
    </row>
    <row r="60" spans="2:16" x14ac:dyDescent="0.3">
      <c r="B60">
        <v>3</v>
      </c>
      <c r="C60">
        <v>0</v>
      </c>
      <c r="D60">
        <f t="shared" ref="D60:F60" si="9">C59</f>
        <v>-10</v>
      </c>
      <c r="E60">
        <f t="shared" si="9"/>
        <v>20</v>
      </c>
      <c r="F60">
        <f t="shared" si="9"/>
        <v>-10</v>
      </c>
      <c r="G60">
        <v>0</v>
      </c>
      <c r="I60">
        <f>$E$54</f>
        <v>0</v>
      </c>
      <c r="L60">
        <v>2.4999999999999998E-2</v>
      </c>
      <c r="M60">
        <v>7.4999999999999983E-2</v>
      </c>
      <c r="N60">
        <v>0.125</v>
      </c>
      <c r="O60">
        <v>7.4999999999999997E-2</v>
      </c>
      <c r="P60">
        <v>2.4999999999999998E-2</v>
      </c>
    </row>
    <row r="61" spans="2:16" x14ac:dyDescent="0.3">
      <c r="B61">
        <v>4</v>
      </c>
      <c r="C61">
        <v>0</v>
      </c>
      <c r="D61">
        <v>0</v>
      </c>
      <c r="E61">
        <f t="shared" ref="E61:G61" si="10">D60</f>
        <v>-10</v>
      </c>
      <c r="F61">
        <f t="shared" si="10"/>
        <v>20</v>
      </c>
      <c r="G61">
        <f t="shared" si="10"/>
        <v>-10</v>
      </c>
      <c r="I61">
        <f>$F$54</f>
        <v>0</v>
      </c>
      <c r="L61">
        <v>1.4999999999999998E-2</v>
      </c>
      <c r="M61">
        <v>4.4999999999999991E-2</v>
      </c>
      <c r="N61">
        <v>7.4999999999999997E-2</v>
      </c>
      <c r="O61">
        <v>0.105</v>
      </c>
      <c r="P61">
        <v>3.4999999999999996E-2</v>
      </c>
    </row>
    <row r="62" spans="2:16" x14ac:dyDescent="0.3">
      <c r="B62">
        <v>5</v>
      </c>
      <c r="C62">
        <v>0</v>
      </c>
      <c r="D62">
        <v>0</v>
      </c>
      <c r="E62">
        <v>0</v>
      </c>
      <c r="F62">
        <f>-G52</f>
        <v>-10</v>
      </c>
      <c r="G62">
        <f>G51</f>
        <v>30</v>
      </c>
      <c r="I62">
        <f>$G$54</f>
        <v>10000</v>
      </c>
      <c r="L62">
        <v>5.0000000000000001E-3</v>
      </c>
      <c r="M62">
        <v>1.4999999999999999E-2</v>
      </c>
      <c r="N62">
        <v>2.5000000000000001E-2</v>
      </c>
      <c r="O62">
        <v>3.5000000000000003E-2</v>
      </c>
      <c r="P62">
        <v>4.4999999999999998E-2</v>
      </c>
    </row>
    <row r="64" spans="2:16" x14ac:dyDescent="0.3">
      <c r="B64" t="s">
        <v>15</v>
      </c>
      <c r="C64" t="s">
        <v>32</v>
      </c>
      <c r="D64" t="s">
        <v>33</v>
      </c>
      <c r="E64" t="s">
        <v>34</v>
      </c>
      <c r="F64" t="s">
        <v>35</v>
      </c>
    </row>
    <row r="65" spans="2:7" x14ac:dyDescent="0.3">
      <c r="C65">
        <v>0</v>
      </c>
      <c r="D65">
        <f>C12</f>
        <v>100</v>
      </c>
      <c r="E65">
        <f>($C$13-$C$12)*C65/$C$10+$C$12</f>
        <v>100</v>
      </c>
      <c r="F65" s="1">
        <f>ABS((E65-D65)/E65)</f>
        <v>0</v>
      </c>
      <c r="G65" s="1">
        <f>AVERAGE(F65:F71)</f>
        <v>1.1924352447128124E-16</v>
      </c>
    </row>
    <row r="66" spans="2:7" x14ac:dyDescent="0.3">
      <c r="B66">
        <v>1</v>
      </c>
      <c r="C66">
        <f>C65+C15/2</f>
        <v>0.05</v>
      </c>
      <c r="D66" cm="1">
        <f t="array" ref="D66:D70">MMULT(L58:P62,I58:I62)</f>
        <v>140</v>
      </c>
      <c r="E66">
        <f t="shared" ref="E66:E71" si="11">($C$13-$C$12)*C66/$C$10+$C$12</f>
        <v>140</v>
      </c>
      <c r="F66" s="1">
        <f t="shared" ref="F66:F71" si="12">ABS((E66-D66)/E66)</f>
        <v>0</v>
      </c>
    </row>
    <row r="67" spans="2:7" x14ac:dyDescent="0.3">
      <c r="B67">
        <v>2</v>
      </c>
      <c r="C67">
        <f>C66+$C$15</f>
        <v>0.15000000000000002</v>
      </c>
      <c r="D67">
        <v>219.99999999999994</v>
      </c>
      <c r="E67">
        <f t="shared" si="11"/>
        <v>220</v>
      </c>
      <c r="F67" s="1">
        <f t="shared" si="12"/>
        <v>2.5837917664003642E-16</v>
      </c>
    </row>
    <row r="68" spans="2:7" x14ac:dyDescent="0.3">
      <c r="B68">
        <v>3</v>
      </c>
      <c r="C68">
        <f t="shared" ref="C68:C70" si="13">C67+$C$15</f>
        <v>0.25</v>
      </c>
      <c r="D68">
        <v>299.99999999999994</v>
      </c>
      <c r="E68">
        <f t="shared" si="11"/>
        <v>300</v>
      </c>
      <c r="F68" s="1">
        <f t="shared" si="12"/>
        <v>1.8947806286936006E-16</v>
      </c>
    </row>
    <row r="69" spans="2:7" x14ac:dyDescent="0.3">
      <c r="B69">
        <v>4</v>
      </c>
      <c r="C69">
        <f t="shared" si="13"/>
        <v>0.35</v>
      </c>
      <c r="D69">
        <v>379.99999999999994</v>
      </c>
      <c r="E69">
        <f t="shared" si="11"/>
        <v>380</v>
      </c>
      <c r="F69" s="1">
        <f t="shared" si="12"/>
        <v>1.495879443705474E-16</v>
      </c>
    </row>
    <row r="70" spans="2:7" x14ac:dyDescent="0.3">
      <c r="B70">
        <v>5</v>
      </c>
      <c r="C70">
        <f t="shared" si="13"/>
        <v>0.44999999999999996</v>
      </c>
      <c r="D70">
        <v>460</v>
      </c>
      <c r="E70">
        <f t="shared" si="11"/>
        <v>459.99999999999994</v>
      </c>
      <c r="F70" s="1">
        <f t="shared" si="12"/>
        <v>1.2357264969740875E-16</v>
      </c>
    </row>
    <row r="71" spans="2:7" x14ac:dyDescent="0.3">
      <c r="C71">
        <f>C70+C15/2</f>
        <v>0.49999999999999994</v>
      </c>
      <c r="D71">
        <f>C13</f>
        <v>500</v>
      </c>
      <c r="E71">
        <f t="shared" si="11"/>
        <v>499.99999999999994</v>
      </c>
      <c r="F71" s="1">
        <f t="shared" si="12"/>
        <v>1.1368683772161603E-16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6CBA-436B-4EEF-9FF0-D6ADBCD71259}">
  <dimension ref="B14:O77"/>
  <sheetViews>
    <sheetView topLeftCell="A49" zoomScale="115" zoomScaleNormal="115" workbookViewId="0">
      <selection activeCell="B56" sqref="B56:B59"/>
    </sheetView>
  </sheetViews>
  <sheetFormatPr defaultRowHeight="14.4" x14ac:dyDescent="0.3"/>
  <sheetData>
    <row r="14" spans="2:3" x14ac:dyDescent="0.3">
      <c r="B14" t="s">
        <v>36</v>
      </c>
    </row>
    <row r="15" spans="2:3" x14ac:dyDescent="0.3">
      <c r="B15" t="s">
        <v>37</v>
      </c>
      <c r="C15">
        <v>100</v>
      </c>
    </row>
    <row r="16" spans="2:3" x14ac:dyDescent="0.3">
      <c r="B16" t="s">
        <v>38</v>
      </c>
      <c r="C16">
        <v>200</v>
      </c>
    </row>
    <row r="17" spans="2:5" x14ac:dyDescent="0.3">
      <c r="B17" t="s">
        <v>39</v>
      </c>
      <c r="C17">
        <v>0.5</v>
      </c>
    </row>
    <row r="18" spans="2:5" x14ac:dyDescent="0.3">
      <c r="B18" t="s">
        <v>40</v>
      </c>
      <c r="C18">
        <v>1000</v>
      </c>
    </row>
    <row r="19" spans="2:5" x14ac:dyDescent="0.3">
      <c r="B19" t="s">
        <v>41</v>
      </c>
      <c r="C19">
        <f>C18*1000</f>
        <v>1000000</v>
      </c>
    </row>
    <row r="20" spans="2:5" x14ac:dyDescent="0.3">
      <c r="B20" t="s">
        <v>42</v>
      </c>
      <c r="C20">
        <v>0.02</v>
      </c>
    </row>
    <row r="21" spans="2:5" x14ac:dyDescent="0.3">
      <c r="B21" t="s">
        <v>43</v>
      </c>
      <c r="C21">
        <v>5</v>
      </c>
      <c r="D21" t="s">
        <v>44</v>
      </c>
      <c r="E21">
        <f>C21</f>
        <v>5</v>
      </c>
    </row>
    <row r="22" spans="2:5" x14ac:dyDescent="0.3">
      <c r="B22" t="s">
        <v>5</v>
      </c>
      <c r="C22">
        <f>C20/C21</f>
        <v>4.0000000000000001E-3</v>
      </c>
    </row>
    <row r="24" spans="2:5" x14ac:dyDescent="0.3">
      <c r="B24" t="s">
        <v>8</v>
      </c>
    </row>
    <row r="30" spans="2:5" x14ac:dyDescent="0.3">
      <c r="B30" t="s">
        <v>45</v>
      </c>
    </row>
    <row r="34" spans="2:11" x14ac:dyDescent="0.3">
      <c r="B34" t="s">
        <v>46</v>
      </c>
      <c r="G34" t="s">
        <v>47</v>
      </c>
      <c r="K34" t="s">
        <v>48</v>
      </c>
    </row>
    <row r="45" spans="2:11" x14ac:dyDescent="0.3">
      <c r="B45" t="s">
        <v>11</v>
      </c>
    </row>
    <row r="46" spans="2:11" x14ac:dyDescent="0.3">
      <c r="B46" t="s">
        <v>15</v>
      </c>
      <c r="C46">
        <v>1</v>
      </c>
      <c r="D46">
        <v>2</v>
      </c>
      <c r="E46">
        <v>3</v>
      </c>
      <c r="F46">
        <v>4</v>
      </c>
      <c r="G46">
        <v>5</v>
      </c>
    </row>
    <row r="47" spans="2:11" x14ac:dyDescent="0.3">
      <c r="B47" t="s">
        <v>18</v>
      </c>
      <c r="C47">
        <f>C48+C49</f>
        <v>125</v>
      </c>
      <c r="D47">
        <f t="shared" ref="D47:G47" si="0">D48+D49</f>
        <v>250</v>
      </c>
      <c r="E47">
        <f t="shared" si="0"/>
        <v>250</v>
      </c>
      <c r="F47">
        <f t="shared" si="0"/>
        <v>250</v>
      </c>
      <c r="G47">
        <f t="shared" si="0"/>
        <v>125</v>
      </c>
    </row>
    <row r="48" spans="2:11" x14ac:dyDescent="0.3">
      <c r="B48" t="s">
        <v>16</v>
      </c>
      <c r="C48">
        <f>IF(C46=1,0,$C$17/$C$22)</f>
        <v>0</v>
      </c>
      <c r="D48">
        <f t="shared" ref="D48:G48" si="1">IF(D46=1,0,$C$17/$C$22)</f>
        <v>125</v>
      </c>
      <c r="E48">
        <f t="shared" si="1"/>
        <v>125</v>
      </c>
      <c r="F48">
        <f t="shared" si="1"/>
        <v>125</v>
      </c>
      <c r="G48">
        <f t="shared" si="1"/>
        <v>125</v>
      </c>
    </row>
    <row r="49" spans="2:15" x14ac:dyDescent="0.3">
      <c r="B49" t="s">
        <v>17</v>
      </c>
      <c r="C49">
        <f>IF(C46=5,0,$C$17/$C$22)</f>
        <v>125</v>
      </c>
      <c r="D49">
        <f t="shared" ref="D49:G49" si="2">IF(D46=5,0,$C$17/$C$22)</f>
        <v>125</v>
      </c>
      <c r="E49">
        <f t="shared" si="2"/>
        <v>125</v>
      </c>
      <c r="F49">
        <f t="shared" si="2"/>
        <v>125</v>
      </c>
      <c r="G49">
        <f t="shared" si="2"/>
        <v>0</v>
      </c>
    </row>
    <row r="50" spans="2:15" x14ac:dyDescent="0.3">
      <c r="B50" t="s">
        <v>19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2:15" x14ac:dyDescent="0.3">
      <c r="B51" t="s">
        <v>20</v>
      </c>
      <c r="C51">
        <f>$C$19*$C$22</f>
        <v>4000</v>
      </c>
      <c r="D51">
        <f t="shared" ref="D51:G51" si="3">$C$19*$C$22</f>
        <v>4000</v>
      </c>
      <c r="E51">
        <f t="shared" si="3"/>
        <v>4000</v>
      </c>
      <c r="F51">
        <f t="shared" si="3"/>
        <v>4000</v>
      </c>
      <c r="G51">
        <f t="shared" si="3"/>
        <v>4000</v>
      </c>
    </row>
    <row r="52" spans="2:15" x14ac:dyDescent="0.3">
      <c r="B52" t="s">
        <v>49</v>
      </c>
      <c r="C52">
        <f>IF(AND(C46&lt;&gt;1,C46&lt;&gt;5),0,(-2*$C$17/$C$22))</f>
        <v>-250</v>
      </c>
      <c r="D52">
        <f t="shared" ref="D52:G52" si="4">IF(AND(D46&lt;&gt;1,D46&lt;&gt;5),0,(-2*$C$17/$C$22))</f>
        <v>0</v>
      </c>
      <c r="E52">
        <f t="shared" si="4"/>
        <v>0</v>
      </c>
      <c r="F52">
        <f t="shared" si="4"/>
        <v>0</v>
      </c>
      <c r="G52">
        <f t="shared" si="4"/>
        <v>-250</v>
      </c>
    </row>
    <row r="53" spans="2:15" x14ac:dyDescent="0.3">
      <c r="B53" t="s">
        <v>50</v>
      </c>
      <c r="C53">
        <f>IF(C46=1,-C52*$C$15,IF(C46=5,-C52*$C$16,0))</f>
        <v>25000</v>
      </c>
      <c r="D53">
        <f t="shared" ref="D53:G53" si="5">IF(D46=1,-D52*$C$15,IF(D46=5,-D52*$C$16,0))</f>
        <v>0</v>
      </c>
      <c r="E53">
        <f t="shared" si="5"/>
        <v>0</v>
      </c>
      <c r="F53">
        <f t="shared" si="5"/>
        <v>0</v>
      </c>
      <c r="G53">
        <f t="shared" si="5"/>
        <v>50000</v>
      </c>
    </row>
    <row r="54" spans="2:15" x14ac:dyDescent="0.3">
      <c r="B54" t="s">
        <v>24</v>
      </c>
    </row>
    <row r="55" spans="2:15" x14ac:dyDescent="0.3">
      <c r="C55">
        <v>1</v>
      </c>
      <c r="D55">
        <v>2</v>
      </c>
      <c r="E55">
        <v>3</v>
      </c>
      <c r="F55">
        <v>4</v>
      </c>
      <c r="G55">
        <v>5</v>
      </c>
    </row>
    <row r="56" spans="2:15" x14ac:dyDescent="0.3">
      <c r="B56" t="s">
        <v>51</v>
      </c>
      <c r="C56">
        <f>C47-C50-C52</f>
        <v>375</v>
      </c>
      <c r="D56">
        <f t="shared" ref="D56:G56" si="6">D47-D50-D52</f>
        <v>250</v>
      </c>
      <c r="E56">
        <f t="shared" si="6"/>
        <v>250</v>
      </c>
      <c r="F56">
        <f t="shared" si="6"/>
        <v>250</v>
      </c>
      <c r="G56">
        <f t="shared" si="6"/>
        <v>375</v>
      </c>
    </row>
    <row r="57" spans="2:15" x14ac:dyDescent="0.3">
      <c r="B57" t="s">
        <v>52</v>
      </c>
      <c r="C57">
        <f>-C48</f>
        <v>0</v>
      </c>
      <c r="D57">
        <f t="shared" ref="D57:G57" si="7">-D48</f>
        <v>-125</v>
      </c>
      <c r="E57">
        <f t="shared" si="7"/>
        <v>-125</v>
      </c>
      <c r="F57">
        <f t="shared" si="7"/>
        <v>-125</v>
      </c>
      <c r="G57">
        <f t="shared" si="7"/>
        <v>-125</v>
      </c>
    </row>
    <row r="58" spans="2:15" x14ac:dyDescent="0.3">
      <c r="B58" t="s">
        <v>53</v>
      </c>
      <c r="C58">
        <f>-C49</f>
        <v>-125</v>
      </c>
      <c r="D58">
        <f t="shared" ref="D58:G58" si="8">-D49</f>
        <v>-125</v>
      </c>
      <c r="E58">
        <f t="shared" si="8"/>
        <v>-125</v>
      </c>
      <c r="F58">
        <f t="shared" si="8"/>
        <v>-125</v>
      </c>
      <c r="G58">
        <f t="shared" si="8"/>
        <v>0</v>
      </c>
    </row>
    <row r="59" spans="2:15" x14ac:dyDescent="0.3">
      <c r="B59" t="s">
        <v>54</v>
      </c>
      <c r="C59">
        <f>C51+C53</f>
        <v>29000</v>
      </c>
      <c r="D59">
        <f t="shared" ref="D59:G59" si="9">D51+D53</f>
        <v>4000</v>
      </c>
      <c r="E59">
        <f t="shared" si="9"/>
        <v>4000</v>
      </c>
      <c r="F59">
        <f t="shared" si="9"/>
        <v>4000</v>
      </c>
      <c r="G59">
        <f t="shared" si="9"/>
        <v>54000</v>
      </c>
    </row>
    <row r="61" spans="2:15" x14ac:dyDescent="0.3">
      <c r="B61" t="s">
        <v>55</v>
      </c>
    </row>
    <row r="62" spans="2:15" x14ac:dyDescent="0.3">
      <c r="B62" t="s">
        <v>23</v>
      </c>
      <c r="I62" t="s">
        <v>56</v>
      </c>
      <c r="K62" t="s">
        <v>57</v>
      </c>
    </row>
    <row r="63" spans="2:15" x14ac:dyDescent="0.3">
      <c r="C63">
        <v>1</v>
      </c>
      <c r="D63">
        <v>2</v>
      </c>
      <c r="E63">
        <v>3</v>
      </c>
      <c r="F63">
        <v>4</v>
      </c>
      <c r="G63">
        <v>5</v>
      </c>
    </row>
    <row r="64" spans="2:15" x14ac:dyDescent="0.3">
      <c r="B64">
        <v>1</v>
      </c>
      <c r="C64">
        <f>C56</f>
        <v>375</v>
      </c>
      <c r="D64">
        <f>C58</f>
        <v>-125</v>
      </c>
      <c r="E64">
        <v>0</v>
      </c>
      <c r="F64">
        <v>0</v>
      </c>
      <c r="G64">
        <v>0</v>
      </c>
      <c r="I64">
        <f>$C$59</f>
        <v>29000</v>
      </c>
      <c r="K64" cm="1">
        <f t="array" ref="K64:O68">MINVERSE(C64:G68)</f>
        <v>3.5999999999999995E-3</v>
      </c>
      <c r="L64">
        <v>2.8E-3</v>
      </c>
      <c r="M64">
        <v>2E-3</v>
      </c>
      <c r="N64">
        <v>1.2000000000000001E-3</v>
      </c>
      <c r="O64">
        <v>3.9999999999999996E-4</v>
      </c>
    </row>
    <row r="65" spans="2:15" x14ac:dyDescent="0.3">
      <c r="B65">
        <v>2</v>
      </c>
      <c r="C65">
        <f>D57</f>
        <v>-125</v>
      </c>
      <c r="D65">
        <f>D56</f>
        <v>250</v>
      </c>
      <c r="E65">
        <f>D58</f>
        <v>-125</v>
      </c>
      <c r="F65">
        <v>0</v>
      </c>
      <c r="G65">
        <v>0</v>
      </c>
      <c r="I65">
        <f>$D$59</f>
        <v>4000</v>
      </c>
      <c r="K65">
        <v>2.7999999999999995E-3</v>
      </c>
      <c r="L65">
        <v>8.3999999999999995E-3</v>
      </c>
      <c r="M65">
        <v>6.0000000000000001E-3</v>
      </c>
      <c r="N65">
        <v>3.5999999999999999E-3</v>
      </c>
      <c r="O65">
        <v>1.1999999999999999E-3</v>
      </c>
    </row>
    <row r="66" spans="2:15" x14ac:dyDescent="0.3">
      <c r="B66">
        <v>3</v>
      </c>
      <c r="C66">
        <v>0</v>
      </c>
      <c r="D66">
        <f t="shared" ref="D66:F66" si="10">C65</f>
        <v>-125</v>
      </c>
      <c r="E66">
        <f t="shared" si="10"/>
        <v>250</v>
      </c>
      <c r="F66">
        <f t="shared" si="10"/>
        <v>-125</v>
      </c>
      <c r="G66">
        <v>0</v>
      </c>
      <c r="I66">
        <f>$E$59</f>
        <v>4000</v>
      </c>
      <c r="K66">
        <v>2E-3</v>
      </c>
      <c r="L66">
        <v>5.9999999999999993E-3</v>
      </c>
      <c r="M66">
        <v>0.01</v>
      </c>
      <c r="N66">
        <v>6.0000000000000001E-3</v>
      </c>
      <c r="O66">
        <v>2E-3</v>
      </c>
    </row>
    <row r="67" spans="2:15" x14ac:dyDescent="0.3">
      <c r="B67">
        <v>4</v>
      </c>
      <c r="C67">
        <v>0</v>
      </c>
      <c r="D67">
        <v>0</v>
      </c>
      <c r="E67">
        <f t="shared" ref="E67:G67" si="11">C65</f>
        <v>-125</v>
      </c>
      <c r="F67">
        <f t="shared" si="11"/>
        <v>250</v>
      </c>
      <c r="G67">
        <f t="shared" si="11"/>
        <v>-125</v>
      </c>
      <c r="I67">
        <f>$F$59</f>
        <v>4000</v>
      </c>
      <c r="K67">
        <v>1.1999999999999999E-3</v>
      </c>
      <c r="L67">
        <v>3.5999999999999995E-3</v>
      </c>
      <c r="M67">
        <v>6.0000000000000001E-3</v>
      </c>
      <c r="N67">
        <v>8.3999999999999995E-3</v>
      </c>
      <c r="O67">
        <v>2.8E-3</v>
      </c>
    </row>
    <row r="68" spans="2:15" x14ac:dyDescent="0.3">
      <c r="B68">
        <v>5</v>
      </c>
      <c r="C68">
        <v>0</v>
      </c>
      <c r="D68">
        <v>0</v>
      </c>
      <c r="E68">
        <v>0</v>
      </c>
      <c r="F68">
        <f>G57</f>
        <v>-125</v>
      </c>
      <c r="G68">
        <f>G56</f>
        <v>375</v>
      </c>
      <c r="I68">
        <f>$G$59</f>
        <v>54000</v>
      </c>
      <c r="K68">
        <v>3.9999999999999996E-4</v>
      </c>
      <c r="L68">
        <v>1.1999999999999999E-3</v>
      </c>
      <c r="M68">
        <v>2E-3</v>
      </c>
      <c r="N68">
        <v>2.8E-3</v>
      </c>
      <c r="O68">
        <v>3.5999999999999999E-3</v>
      </c>
    </row>
    <row r="70" spans="2:15" x14ac:dyDescent="0.3">
      <c r="B70" t="s">
        <v>58</v>
      </c>
      <c r="C70" t="s">
        <v>32</v>
      </c>
      <c r="D70" t="s">
        <v>59</v>
      </c>
      <c r="E70" t="s">
        <v>60</v>
      </c>
      <c r="F70" t="s">
        <v>61</v>
      </c>
      <c r="G70" t="s">
        <v>62</v>
      </c>
    </row>
    <row r="71" spans="2:15" x14ac:dyDescent="0.3">
      <c r="C71">
        <v>0</v>
      </c>
      <c r="D71">
        <f>C15</f>
        <v>100</v>
      </c>
      <c r="E71">
        <f>($C$16-$C$15)*C71/$C$20+($C$19/(2*$C$17))*($C$20-C71)*C71+$C$15</f>
        <v>100</v>
      </c>
      <c r="F71" s="1">
        <f>IFERROR(ABS((E71-D71)/E71),0)</f>
        <v>0</v>
      </c>
      <c r="G71" s="1">
        <f>AVERAGE(F71:F77)</f>
        <v>1.3647999371332913E-2</v>
      </c>
    </row>
    <row r="72" spans="2:15" x14ac:dyDescent="0.3">
      <c r="B72">
        <v>1</v>
      </c>
      <c r="C72">
        <f>C71+C22/2</f>
        <v>2E-3</v>
      </c>
      <c r="D72" cm="1">
        <f t="array" ref="D72:D76">MMULT(K64:O68,I64:I68)</f>
        <v>150</v>
      </c>
      <c r="E72">
        <f t="shared" ref="E72:E77" si="12">($C$16-$C$15)*C72/$C$20+($C$19/(2*$C$17))*($C$20-C72)*C72+$C$15</f>
        <v>146</v>
      </c>
      <c r="F72" s="1">
        <f t="shared" ref="F72:F77" si="13">IFERROR(ABS((E72-D72)/E72),0)</f>
        <v>2.7397260273972601E-2</v>
      </c>
    </row>
    <row r="73" spans="2:15" x14ac:dyDescent="0.3">
      <c r="B73">
        <v>2</v>
      </c>
      <c r="C73">
        <f>C72+$C$22</f>
        <v>6.0000000000000001E-3</v>
      </c>
      <c r="D73">
        <v>218</v>
      </c>
      <c r="E73">
        <f t="shared" si="12"/>
        <v>214</v>
      </c>
      <c r="F73" s="1">
        <f t="shared" si="13"/>
        <v>1.8691588785046728E-2</v>
      </c>
    </row>
    <row r="74" spans="2:15" x14ac:dyDescent="0.3">
      <c r="B74">
        <v>3</v>
      </c>
      <c r="C74">
        <f t="shared" ref="C74:C76" si="14">C73+$C$22</f>
        <v>0.01</v>
      </c>
      <c r="D74">
        <v>254</v>
      </c>
      <c r="E74">
        <f t="shared" si="12"/>
        <v>250</v>
      </c>
      <c r="F74" s="1">
        <f t="shared" si="13"/>
        <v>1.6E-2</v>
      </c>
    </row>
    <row r="75" spans="2:15" x14ac:dyDescent="0.3">
      <c r="B75">
        <v>4</v>
      </c>
      <c r="C75">
        <f t="shared" si="14"/>
        <v>1.4E-2</v>
      </c>
      <c r="D75">
        <v>258</v>
      </c>
      <c r="E75">
        <f t="shared" si="12"/>
        <v>254</v>
      </c>
      <c r="F75" s="1">
        <f t="shared" si="13"/>
        <v>1.5748031496062992E-2</v>
      </c>
    </row>
    <row r="76" spans="2:15" x14ac:dyDescent="0.3">
      <c r="B76">
        <v>5</v>
      </c>
      <c r="C76">
        <f t="shared" si="14"/>
        <v>1.8000000000000002E-2</v>
      </c>
      <c r="D76">
        <v>230</v>
      </c>
      <c r="E76">
        <f t="shared" si="12"/>
        <v>226</v>
      </c>
      <c r="F76" s="1">
        <f t="shared" si="13"/>
        <v>1.7699115044247787E-2</v>
      </c>
    </row>
    <row r="77" spans="2:15" x14ac:dyDescent="0.3">
      <c r="C77">
        <f>C76+C22/2</f>
        <v>2.0000000000000004E-2</v>
      </c>
      <c r="D77">
        <f>C16</f>
        <v>200</v>
      </c>
      <c r="E77">
        <f t="shared" si="12"/>
        <v>199.99999999999994</v>
      </c>
      <c r="F77" s="1">
        <f t="shared" si="13"/>
        <v>2.8421709430404018E-16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AD17D-14E8-43FB-9BB9-7A93D744B921}">
  <dimension ref="B7:O83"/>
  <sheetViews>
    <sheetView topLeftCell="A69" workbookViewId="0">
      <selection activeCell="C77" sqref="C77:D83"/>
    </sheetView>
  </sheetViews>
  <sheetFormatPr defaultRowHeight="14.4" x14ac:dyDescent="0.3"/>
  <sheetData>
    <row r="7" spans="2:5" x14ac:dyDescent="0.3">
      <c r="B7" t="s">
        <v>36</v>
      </c>
    </row>
    <row r="8" spans="2:5" x14ac:dyDescent="0.3">
      <c r="B8" t="s">
        <v>63</v>
      </c>
      <c r="C8">
        <v>1</v>
      </c>
    </row>
    <row r="9" spans="2:5" x14ac:dyDescent="0.3">
      <c r="B9" t="s">
        <v>64</v>
      </c>
      <c r="C9">
        <v>0</v>
      </c>
    </row>
    <row r="10" spans="2:5" x14ac:dyDescent="0.3">
      <c r="B10" t="s">
        <v>42</v>
      </c>
      <c r="C10">
        <v>1</v>
      </c>
    </row>
    <row r="11" spans="2:5" x14ac:dyDescent="0.3">
      <c r="B11" t="s">
        <v>65</v>
      </c>
      <c r="C11">
        <v>5</v>
      </c>
      <c r="D11" t="s">
        <v>44</v>
      </c>
      <c r="E11">
        <f>C11</f>
        <v>5</v>
      </c>
    </row>
    <row r="12" spans="2:5" x14ac:dyDescent="0.3">
      <c r="B12" t="s">
        <v>5</v>
      </c>
      <c r="C12">
        <f>C10/C11</f>
        <v>0.2</v>
      </c>
    </row>
    <row r="13" spans="2:5" x14ac:dyDescent="0.3">
      <c r="B13" t="s">
        <v>66</v>
      </c>
      <c r="C13">
        <v>0.1</v>
      </c>
    </row>
    <row r="14" spans="2:5" x14ac:dyDescent="0.3">
      <c r="B14" t="s">
        <v>67</v>
      </c>
      <c r="C14">
        <v>0.1</v>
      </c>
    </row>
    <row r="15" spans="2:5" x14ac:dyDescent="0.3">
      <c r="B15" t="s">
        <v>69</v>
      </c>
      <c r="C15">
        <v>1</v>
      </c>
    </row>
    <row r="16" spans="2:5" x14ac:dyDescent="0.3">
      <c r="B16" t="s">
        <v>68</v>
      </c>
      <c r="C16">
        <f>C15*C13*C12/C14</f>
        <v>0.20000000000000004</v>
      </c>
    </row>
    <row r="18" spans="2:2" x14ac:dyDescent="0.3">
      <c r="B18" t="s">
        <v>70</v>
      </c>
    </row>
    <row r="27" spans="2:2" x14ac:dyDescent="0.3">
      <c r="B27" t="s">
        <v>10</v>
      </c>
    </row>
    <row r="51" spans="2:7" x14ac:dyDescent="0.3">
      <c r="B51" t="s">
        <v>11</v>
      </c>
    </row>
    <row r="52" spans="2:7" x14ac:dyDescent="0.3">
      <c r="C52">
        <v>1</v>
      </c>
      <c r="D52">
        <v>2</v>
      </c>
      <c r="E52">
        <v>3</v>
      </c>
      <c r="F52">
        <v>4</v>
      </c>
      <c r="G52">
        <v>5</v>
      </c>
    </row>
    <row r="53" spans="2:7" x14ac:dyDescent="0.3">
      <c r="B53" t="s">
        <v>18</v>
      </c>
      <c r="C53">
        <f>C54+C55</f>
        <v>0.45</v>
      </c>
      <c r="D53">
        <f t="shared" ref="D53:G53" si="0">D54+D55</f>
        <v>1</v>
      </c>
      <c r="E53">
        <f t="shared" si="0"/>
        <v>1</v>
      </c>
      <c r="F53">
        <f t="shared" si="0"/>
        <v>1</v>
      </c>
      <c r="G53">
        <f t="shared" si="0"/>
        <v>0.55000000000000004</v>
      </c>
    </row>
    <row r="54" spans="2:7" x14ac:dyDescent="0.3">
      <c r="B54" t="s">
        <v>16</v>
      </c>
      <c r="C54">
        <f>IF(C52=1,0,($C$14/$C$12+0.5*$C$15*$C$13))</f>
        <v>0</v>
      </c>
      <c r="D54">
        <f t="shared" ref="D54:G54" si="1">IF(D52=1,0,($C$14/$C$12+0.5*$C$15*$C$13))</f>
        <v>0.55000000000000004</v>
      </c>
      <c r="E54">
        <f t="shared" si="1"/>
        <v>0.55000000000000004</v>
      </c>
      <c r="F54">
        <f t="shared" si="1"/>
        <v>0.55000000000000004</v>
      </c>
      <c r="G54">
        <f t="shared" si="1"/>
        <v>0.55000000000000004</v>
      </c>
    </row>
    <row r="55" spans="2:7" x14ac:dyDescent="0.3">
      <c r="B55" t="s">
        <v>17</v>
      </c>
      <c r="C55">
        <f>IF(C52=5,0,($C$14/$C$12-0.5*$C$15*$C$13))</f>
        <v>0.45</v>
      </c>
      <c r="D55">
        <f t="shared" ref="D55:G55" si="2">IF(D52=5,0,($C$14/$C$12-0.5*$C$15*$C$13))</f>
        <v>0.45</v>
      </c>
      <c r="E55">
        <f t="shared" si="2"/>
        <v>0.45</v>
      </c>
      <c r="F55">
        <f t="shared" si="2"/>
        <v>0.45</v>
      </c>
      <c r="G55">
        <f t="shared" si="2"/>
        <v>0</v>
      </c>
    </row>
    <row r="56" spans="2:7" x14ac:dyDescent="0.3">
      <c r="B56" t="s">
        <v>19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2:7" x14ac:dyDescent="0.3">
      <c r="B57" t="s">
        <v>49</v>
      </c>
      <c r="C57">
        <f>IF(C52=1,(-(2*$C$14/$C$12+$C$15*$C$13)),IF(C52=5,(-(2*$C$14/$C$12-$C$15*$C$13)),0))</f>
        <v>-1.1000000000000001</v>
      </c>
      <c r="D57">
        <f t="shared" ref="D57:G57" si="3">IF(D52=1,(-(2*$C$14/$C$12+$C$15*$C$13)),IF(D52=5,(-(2*$C$14/$C$12-$C$15*$C$13)),0))</f>
        <v>0</v>
      </c>
      <c r="E57">
        <f t="shared" si="3"/>
        <v>0</v>
      </c>
      <c r="F57">
        <f t="shared" si="3"/>
        <v>0</v>
      </c>
      <c r="G57">
        <f t="shared" si="3"/>
        <v>-0.9</v>
      </c>
    </row>
    <row r="58" spans="2:7" x14ac:dyDescent="0.3">
      <c r="B58" t="s">
        <v>20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2:7" x14ac:dyDescent="0.3">
      <c r="B59" t="s">
        <v>50</v>
      </c>
      <c r="C59">
        <f>IF(C52=1,(-C57*$C$8),IF(C52=5,(-C57*$C$9),0))</f>
        <v>1.1000000000000001</v>
      </c>
      <c r="D59">
        <f t="shared" ref="D59:G59" si="4">IF(D52=1,(-D57*$C$8),IF(D52=5,(-D57*$C$9),0))</f>
        <v>0</v>
      </c>
      <c r="E59">
        <f t="shared" si="4"/>
        <v>0</v>
      </c>
      <c r="F59">
        <f t="shared" si="4"/>
        <v>0</v>
      </c>
      <c r="G59">
        <f t="shared" si="4"/>
        <v>0</v>
      </c>
    </row>
    <row r="61" spans="2:7" x14ac:dyDescent="0.3">
      <c r="B61" t="s">
        <v>24</v>
      </c>
    </row>
    <row r="62" spans="2:7" x14ac:dyDescent="0.3">
      <c r="C62">
        <v>1</v>
      </c>
      <c r="D62">
        <v>2</v>
      </c>
      <c r="E62">
        <v>3</v>
      </c>
      <c r="F62">
        <v>4</v>
      </c>
      <c r="G62">
        <v>5</v>
      </c>
    </row>
    <row r="63" spans="2:7" x14ac:dyDescent="0.3">
      <c r="B63" t="s">
        <v>71</v>
      </c>
      <c r="C63">
        <f>C53-C56-C57</f>
        <v>1.55</v>
      </c>
      <c r="D63">
        <f t="shared" ref="D63:G63" si="5">D53-D56-D57</f>
        <v>1</v>
      </c>
      <c r="E63">
        <f t="shared" si="5"/>
        <v>1</v>
      </c>
      <c r="F63">
        <f t="shared" si="5"/>
        <v>1</v>
      </c>
      <c r="G63">
        <f t="shared" si="5"/>
        <v>1.4500000000000002</v>
      </c>
    </row>
    <row r="64" spans="2:7" x14ac:dyDescent="0.3">
      <c r="B64" t="s">
        <v>72</v>
      </c>
      <c r="C64">
        <f>-C54</f>
        <v>0</v>
      </c>
      <c r="D64">
        <f t="shared" ref="D64:G64" si="6">-D54</f>
        <v>-0.55000000000000004</v>
      </c>
      <c r="E64">
        <f t="shared" si="6"/>
        <v>-0.55000000000000004</v>
      </c>
      <c r="F64">
        <f t="shared" si="6"/>
        <v>-0.55000000000000004</v>
      </c>
      <c r="G64">
        <f t="shared" si="6"/>
        <v>-0.55000000000000004</v>
      </c>
    </row>
    <row r="65" spans="2:15" x14ac:dyDescent="0.3">
      <c r="B65" t="s">
        <v>73</v>
      </c>
      <c r="C65">
        <f>-C55</f>
        <v>-0.45</v>
      </c>
      <c r="D65">
        <f t="shared" ref="D65:G65" si="7">-D55</f>
        <v>-0.45</v>
      </c>
      <c r="E65">
        <f t="shared" si="7"/>
        <v>-0.45</v>
      </c>
      <c r="F65">
        <f t="shared" si="7"/>
        <v>-0.45</v>
      </c>
      <c r="G65">
        <f t="shared" si="7"/>
        <v>0</v>
      </c>
    </row>
    <row r="66" spans="2:15" x14ac:dyDescent="0.3">
      <c r="B66" t="s">
        <v>54</v>
      </c>
      <c r="C66">
        <f>C58+C59</f>
        <v>1.1000000000000001</v>
      </c>
      <c r="D66">
        <f t="shared" ref="D66:G66" si="8">D58+D59</f>
        <v>0</v>
      </c>
      <c r="E66">
        <f t="shared" si="8"/>
        <v>0</v>
      </c>
      <c r="F66">
        <f t="shared" si="8"/>
        <v>0</v>
      </c>
      <c r="G66">
        <f t="shared" si="8"/>
        <v>0</v>
      </c>
    </row>
    <row r="68" spans="2:15" x14ac:dyDescent="0.3">
      <c r="B68" t="s">
        <v>55</v>
      </c>
    </row>
    <row r="69" spans="2:15" x14ac:dyDescent="0.3">
      <c r="C69">
        <v>1</v>
      </c>
      <c r="D69">
        <v>2</v>
      </c>
      <c r="E69">
        <v>3</v>
      </c>
      <c r="F69">
        <v>4</v>
      </c>
      <c r="G69">
        <v>5</v>
      </c>
      <c r="I69" t="s">
        <v>56</v>
      </c>
      <c r="K69" t="s">
        <v>74</v>
      </c>
    </row>
    <row r="70" spans="2:15" x14ac:dyDescent="0.3">
      <c r="B70">
        <v>1</v>
      </c>
      <c r="C70">
        <f>C63</f>
        <v>1.55</v>
      </c>
      <c r="D70">
        <f>C65</f>
        <v>-0.45</v>
      </c>
      <c r="E70">
        <v>0</v>
      </c>
      <c r="F70">
        <v>0</v>
      </c>
      <c r="G70">
        <v>0</v>
      </c>
      <c r="I70">
        <f>$C$66</f>
        <v>1.1000000000000001</v>
      </c>
      <c r="K70" cm="1">
        <f t="array" ref="K70:O74">MINVERSE(C70:G74)</f>
        <v>0.85646359875296563</v>
      </c>
      <c r="L70">
        <v>0.5954883237583577</v>
      </c>
      <c r="M70">
        <v>0.38196309876276952</v>
      </c>
      <c r="N70">
        <v>0.20726064194819718</v>
      </c>
      <c r="O70">
        <v>6.4322268190819806E-2</v>
      </c>
    </row>
    <row r="71" spans="2:15" x14ac:dyDescent="0.3">
      <c r="B71">
        <v>2</v>
      </c>
      <c r="C71">
        <f>D64</f>
        <v>-0.55000000000000004</v>
      </c>
      <c r="D71">
        <f>D63</f>
        <v>1</v>
      </c>
      <c r="E71">
        <f>D65</f>
        <v>-0.45</v>
      </c>
      <c r="F71">
        <v>0</v>
      </c>
      <c r="G71">
        <v>0</v>
      </c>
      <c r="I71">
        <f>$D$66</f>
        <v>0</v>
      </c>
      <c r="K71">
        <v>0.72781906237132621</v>
      </c>
      <c r="L71">
        <v>2.0511264485010101</v>
      </c>
      <c r="M71">
        <v>1.3156506735162061</v>
      </c>
      <c r="N71">
        <v>0.71389776671045702</v>
      </c>
      <c r="O71">
        <v>0.22155447932393488</v>
      </c>
    </row>
    <row r="72" spans="2:15" x14ac:dyDescent="0.3">
      <c r="B72">
        <v>3</v>
      </c>
      <c r="C72">
        <v>0</v>
      </c>
      <c r="D72">
        <f t="shared" ref="D72:F72" si="9">C71</f>
        <v>-0.55000000000000004</v>
      </c>
      <c r="E72">
        <f t="shared" si="9"/>
        <v>1</v>
      </c>
      <c r="F72">
        <f t="shared" si="9"/>
        <v>-0.45</v>
      </c>
      <c r="G72">
        <v>0</v>
      </c>
      <c r="I72">
        <f>$E$66</f>
        <v>0</v>
      </c>
      <c r="K72">
        <v>0.57058685123821129</v>
      </c>
      <c r="L72">
        <v>1.6080174898531407</v>
      </c>
      <c r="M72">
        <v>2.4568243759926287</v>
      </c>
      <c r="N72">
        <v>1.3331209191976634</v>
      </c>
      <c r="O72">
        <v>0.41372718181996443</v>
      </c>
    </row>
    <row r="73" spans="2:15" x14ac:dyDescent="0.3">
      <c r="B73">
        <v>4</v>
      </c>
      <c r="C73">
        <v>0</v>
      </c>
      <c r="D73">
        <v>0</v>
      </c>
      <c r="E73">
        <f t="shared" ref="E73:G73" si="10">C71</f>
        <v>-0.55000000000000004</v>
      </c>
      <c r="F73">
        <f t="shared" si="10"/>
        <v>1</v>
      </c>
      <c r="G73">
        <f t="shared" si="10"/>
        <v>-0.45</v>
      </c>
      <c r="I73">
        <f>$F$66</f>
        <v>0</v>
      </c>
      <c r="K73">
        <v>0.37841414874218177</v>
      </c>
      <c r="L73">
        <v>1.0664398737279668</v>
      </c>
      <c r="M73">
        <v>1.6293700123526997</v>
      </c>
      <c r="N73">
        <v>2.0899492166820264</v>
      </c>
      <c r="O73">
        <v>0.64860492931511149</v>
      </c>
    </row>
    <row r="74" spans="2:15" x14ac:dyDescent="0.3">
      <c r="B74">
        <v>5</v>
      </c>
      <c r="C74">
        <v>0</v>
      </c>
      <c r="D74">
        <v>0</v>
      </c>
      <c r="E74">
        <v>0</v>
      </c>
      <c r="F74">
        <f>G64</f>
        <v>-0.55000000000000004</v>
      </c>
      <c r="G74">
        <f>G63</f>
        <v>1.4500000000000002</v>
      </c>
      <c r="I74">
        <f>$G$66</f>
        <v>0</v>
      </c>
      <c r="K74">
        <v>0.14353640124703446</v>
      </c>
      <c r="L74">
        <v>0.40451167624164253</v>
      </c>
      <c r="M74">
        <v>0.61803690123723087</v>
      </c>
      <c r="N74">
        <v>0.79273935805180307</v>
      </c>
      <c r="O74">
        <v>0.93567773180918012</v>
      </c>
    </row>
    <row r="76" spans="2:15" x14ac:dyDescent="0.3">
      <c r="B76" t="s">
        <v>75</v>
      </c>
      <c r="C76" t="s">
        <v>32</v>
      </c>
      <c r="D76" t="s">
        <v>59</v>
      </c>
      <c r="E76" t="s">
        <v>60</v>
      </c>
      <c r="F76" t="s">
        <v>76</v>
      </c>
      <c r="G76" t="s">
        <v>62</v>
      </c>
    </row>
    <row r="77" spans="2:15" x14ac:dyDescent="0.3">
      <c r="C77">
        <v>0</v>
      </c>
      <c r="D77">
        <f>C8</f>
        <v>1</v>
      </c>
      <c r="E77">
        <f>$C$8+($C$9-$C$8)*(EXP($C$15*$C$13*C77/$C$14)-1)/(EXP($C$15*$C$13*$C$10/$C$14)-1)</f>
        <v>1</v>
      </c>
      <c r="F77" s="1">
        <f>IFERROR(ABS((E77-D77)/E77),0)</f>
        <v>0</v>
      </c>
      <c r="G77" s="1">
        <f>AVERAGE(F77:F83)</f>
        <v>1.1593007722223261E-2</v>
      </c>
    </row>
    <row r="78" spans="2:15" x14ac:dyDescent="0.3">
      <c r="B78">
        <v>1</v>
      </c>
      <c r="C78">
        <f>C77+C12/2</f>
        <v>0.1</v>
      </c>
      <c r="D78" cm="1">
        <f t="array" ref="D78:D82">MMULT(K70:O74,I70:I74)</f>
        <v>0.9421099586282623</v>
      </c>
      <c r="E78">
        <f t="shared" ref="E78:E83" si="11">$C$8+($C$9-$C$8)*(EXP($C$15*$C$13*C78/$C$14)-1)/(EXP($C$15*$C$13*$C$10/$C$14)-1)</f>
        <v>0.9387929754399108</v>
      </c>
      <c r="F78" s="1">
        <f t="shared" ref="F78:F83" si="12">IFERROR(ABS((E78-D78)/E78),0)</f>
        <v>3.5332424454893106E-3</v>
      </c>
    </row>
    <row r="79" spans="2:15" x14ac:dyDescent="0.3">
      <c r="B79">
        <v>2</v>
      </c>
      <c r="C79">
        <f>C78+$C$12</f>
        <v>0.30000000000000004</v>
      </c>
      <c r="D79">
        <v>0.80060096860845886</v>
      </c>
      <c r="E79">
        <f t="shared" si="11"/>
        <v>0.79639032329768833</v>
      </c>
      <c r="F79" s="1">
        <f t="shared" si="12"/>
        <v>5.2871628240472816E-3</v>
      </c>
    </row>
    <row r="80" spans="2:15" x14ac:dyDescent="0.3">
      <c r="B80">
        <v>3</v>
      </c>
      <c r="C80">
        <f t="shared" ref="C80:C82" si="13">C79+$C$12</f>
        <v>0.5</v>
      </c>
      <c r="D80">
        <v>0.62764553636203246</v>
      </c>
      <c r="E80">
        <f t="shared" si="11"/>
        <v>0.62245933120185448</v>
      </c>
      <c r="F80" s="1">
        <f t="shared" si="12"/>
        <v>8.3317975973857972E-3</v>
      </c>
    </row>
    <row r="81" spans="2:6" x14ac:dyDescent="0.3">
      <c r="B81">
        <v>4</v>
      </c>
      <c r="C81">
        <f t="shared" si="13"/>
        <v>0.7</v>
      </c>
      <c r="D81">
        <v>0.41625556361639998</v>
      </c>
      <c r="E81">
        <f t="shared" si="11"/>
        <v>0.4100195377264686</v>
      </c>
      <c r="F81" s="1">
        <f t="shared" si="12"/>
        <v>1.5209094484886596E-2</v>
      </c>
    </row>
    <row r="82" spans="2:6" x14ac:dyDescent="0.3">
      <c r="B82">
        <v>5</v>
      </c>
      <c r="C82">
        <f t="shared" si="13"/>
        <v>0.89999999999999991</v>
      </c>
      <c r="D82">
        <v>0.15789004137173793</v>
      </c>
      <c r="E82">
        <f t="shared" si="11"/>
        <v>0.15054498803265515</v>
      </c>
      <c r="F82" s="1">
        <f t="shared" si="12"/>
        <v>4.878975670375385E-2</v>
      </c>
    </row>
    <row r="83" spans="2:6" x14ac:dyDescent="0.3">
      <c r="C83">
        <f>C82+C12/2</f>
        <v>0.99999999999999989</v>
      </c>
      <c r="D83">
        <f>C9</f>
        <v>0</v>
      </c>
      <c r="E83">
        <f t="shared" si="11"/>
        <v>0</v>
      </c>
      <c r="F83" s="1">
        <f t="shared" si="12"/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458F-9482-44BE-A43D-0624FE300E51}">
  <dimension ref="B7:O83"/>
  <sheetViews>
    <sheetView topLeftCell="A67" workbookViewId="0">
      <selection activeCell="C77" sqref="C77:D83"/>
    </sheetView>
  </sheetViews>
  <sheetFormatPr defaultRowHeight="14.4" x14ac:dyDescent="0.3"/>
  <sheetData>
    <row r="7" spans="2:5" x14ac:dyDescent="0.3">
      <c r="B7" t="s">
        <v>36</v>
      </c>
    </row>
    <row r="8" spans="2:5" x14ac:dyDescent="0.3">
      <c r="B8" t="s">
        <v>63</v>
      </c>
      <c r="C8">
        <v>1</v>
      </c>
    </row>
    <row r="9" spans="2:5" x14ac:dyDescent="0.3">
      <c r="B9" t="s">
        <v>64</v>
      </c>
      <c r="C9">
        <v>0</v>
      </c>
    </row>
    <row r="10" spans="2:5" x14ac:dyDescent="0.3">
      <c r="B10" t="s">
        <v>42</v>
      </c>
      <c r="C10">
        <v>1</v>
      </c>
    </row>
    <row r="11" spans="2:5" x14ac:dyDescent="0.3">
      <c r="B11" t="s">
        <v>65</v>
      </c>
      <c r="C11">
        <v>5</v>
      </c>
      <c r="D11" t="s">
        <v>44</v>
      </c>
      <c r="E11">
        <f>C11</f>
        <v>5</v>
      </c>
    </row>
    <row r="12" spans="2:5" x14ac:dyDescent="0.3">
      <c r="B12" t="s">
        <v>5</v>
      </c>
      <c r="C12">
        <f>C10/C11</f>
        <v>0.2</v>
      </c>
    </row>
    <row r="13" spans="2:5" x14ac:dyDescent="0.3">
      <c r="B13" t="s">
        <v>66</v>
      </c>
      <c r="C13">
        <v>2.5</v>
      </c>
    </row>
    <row r="14" spans="2:5" x14ac:dyDescent="0.3">
      <c r="B14" t="s">
        <v>67</v>
      </c>
      <c r="C14">
        <v>0.1</v>
      </c>
    </row>
    <row r="15" spans="2:5" x14ac:dyDescent="0.3">
      <c r="B15" t="s">
        <v>69</v>
      </c>
      <c r="C15">
        <v>1</v>
      </c>
    </row>
    <row r="16" spans="2:5" x14ac:dyDescent="0.3">
      <c r="B16" t="s">
        <v>68</v>
      </c>
      <c r="C16">
        <f>C15*C13*C12/C14</f>
        <v>5</v>
      </c>
    </row>
    <row r="18" spans="2:2" x14ac:dyDescent="0.3">
      <c r="B18" t="s">
        <v>70</v>
      </c>
    </row>
    <row r="27" spans="2:2" x14ac:dyDescent="0.3">
      <c r="B27" t="s">
        <v>10</v>
      </c>
    </row>
    <row r="51" spans="2:7" x14ac:dyDescent="0.3">
      <c r="B51" t="s">
        <v>11</v>
      </c>
    </row>
    <row r="52" spans="2:7" x14ac:dyDescent="0.3">
      <c r="C52">
        <v>1</v>
      </c>
      <c r="D52">
        <v>2</v>
      </c>
      <c r="E52">
        <v>3</v>
      </c>
      <c r="F52">
        <v>4</v>
      </c>
      <c r="G52">
        <v>5</v>
      </c>
    </row>
    <row r="53" spans="2:7" x14ac:dyDescent="0.3">
      <c r="B53" t="s">
        <v>18</v>
      </c>
      <c r="C53">
        <f>C54+C55</f>
        <v>-0.75</v>
      </c>
      <c r="D53">
        <f t="shared" ref="D53:G53" si="0">D54+D55</f>
        <v>1</v>
      </c>
      <c r="E53">
        <f t="shared" si="0"/>
        <v>1</v>
      </c>
      <c r="F53">
        <f t="shared" si="0"/>
        <v>1</v>
      </c>
      <c r="G53">
        <f t="shared" si="0"/>
        <v>1.75</v>
      </c>
    </row>
    <row r="54" spans="2:7" x14ac:dyDescent="0.3">
      <c r="B54" t="s">
        <v>16</v>
      </c>
      <c r="C54">
        <f>IF(C52=1,0,($C$14/$C$12+0.5*$C$15*$C$13))</f>
        <v>0</v>
      </c>
      <c r="D54">
        <f t="shared" ref="D54:G54" si="1">IF(D52=1,0,($C$14/$C$12+0.5*$C$15*$C$13))</f>
        <v>1.75</v>
      </c>
      <c r="E54">
        <f t="shared" si="1"/>
        <v>1.75</v>
      </c>
      <c r="F54">
        <f t="shared" si="1"/>
        <v>1.75</v>
      </c>
      <c r="G54">
        <f t="shared" si="1"/>
        <v>1.75</v>
      </c>
    </row>
    <row r="55" spans="2:7" x14ac:dyDescent="0.3">
      <c r="B55" t="s">
        <v>17</v>
      </c>
      <c r="C55">
        <f>IF(C52=5,0,($C$14/$C$12-0.5*$C$15*$C$13))</f>
        <v>-0.75</v>
      </c>
      <c r="D55">
        <f t="shared" ref="D55:G55" si="2">IF(D52=5,0,($C$14/$C$12-0.5*$C$15*$C$13))</f>
        <v>-0.75</v>
      </c>
      <c r="E55">
        <f t="shared" si="2"/>
        <v>-0.75</v>
      </c>
      <c r="F55">
        <f t="shared" si="2"/>
        <v>-0.75</v>
      </c>
      <c r="G55">
        <f t="shared" si="2"/>
        <v>0</v>
      </c>
    </row>
    <row r="56" spans="2:7" x14ac:dyDescent="0.3">
      <c r="B56" t="s">
        <v>19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2:7" x14ac:dyDescent="0.3">
      <c r="B57" t="s">
        <v>49</v>
      </c>
      <c r="C57">
        <f>IF(C52=1,(-(2*$C$14/$C$12+$C$15*$C$13)),IF(C52=5,(-(2*$C$14/$C$12-$C$15*$C$13)),0))</f>
        <v>-3.5</v>
      </c>
      <c r="D57">
        <f t="shared" ref="D57:G57" si="3">IF(D52=1,(-(2*$C$14/$C$12+$C$15*$C$13)),IF(D52=5,(-(2*$C$14/$C$12-$C$15*$C$13)),0))</f>
        <v>0</v>
      </c>
      <c r="E57">
        <f t="shared" si="3"/>
        <v>0</v>
      </c>
      <c r="F57">
        <f t="shared" si="3"/>
        <v>0</v>
      </c>
      <c r="G57">
        <f t="shared" si="3"/>
        <v>1.5</v>
      </c>
    </row>
    <row r="58" spans="2:7" x14ac:dyDescent="0.3">
      <c r="B58" t="s">
        <v>20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2:7" x14ac:dyDescent="0.3">
      <c r="B59" t="s">
        <v>50</v>
      </c>
      <c r="C59">
        <f>IF(C52=1,(-C57*$C$8),IF(C52=5,(-C57*$C$9),0))</f>
        <v>3.5</v>
      </c>
      <c r="D59">
        <f t="shared" ref="D59:G59" si="4">IF(D52=1,(-D57*$C$8),IF(D52=5,(-D57*$C$9),0))</f>
        <v>0</v>
      </c>
      <c r="E59">
        <f t="shared" si="4"/>
        <v>0</v>
      </c>
      <c r="F59">
        <f t="shared" si="4"/>
        <v>0</v>
      </c>
      <c r="G59">
        <f t="shared" si="4"/>
        <v>0</v>
      </c>
    </row>
    <row r="61" spans="2:7" x14ac:dyDescent="0.3">
      <c r="B61" t="s">
        <v>24</v>
      </c>
    </row>
    <row r="62" spans="2:7" x14ac:dyDescent="0.3">
      <c r="C62">
        <v>1</v>
      </c>
      <c r="D62">
        <v>2</v>
      </c>
      <c r="E62">
        <v>3</v>
      </c>
      <c r="F62">
        <v>4</v>
      </c>
      <c r="G62">
        <v>5</v>
      </c>
    </row>
    <row r="63" spans="2:7" x14ac:dyDescent="0.3">
      <c r="B63" t="s">
        <v>71</v>
      </c>
      <c r="C63">
        <f>C53-C56-C57</f>
        <v>2.75</v>
      </c>
      <c r="D63">
        <f t="shared" ref="D63:G63" si="5">D53-D56-D57</f>
        <v>1</v>
      </c>
      <c r="E63">
        <f t="shared" si="5"/>
        <v>1</v>
      </c>
      <c r="F63">
        <f t="shared" si="5"/>
        <v>1</v>
      </c>
      <c r="G63">
        <f t="shared" si="5"/>
        <v>0.25</v>
      </c>
    </row>
    <row r="64" spans="2:7" x14ac:dyDescent="0.3">
      <c r="B64" t="s">
        <v>72</v>
      </c>
      <c r="C64">
        <f>-C54</f>
        <v>0</v>
      </c>
      <c r="D64">
        <f t="shared" ref="D64:G65" si="6">-D54</f>
        <v>-1.75</v>
      </c>
      <c r="E64">
        <f t="shared" si="6"/>
        <v>-1.75</v>
      </c>
      <c r="F64">
        <f t="shared" si="6"/>
        <v>-1.75</v>
      </c>
      <c r="G64">
        <f t="shared" si="6"/>
        <v>-1.75</v>
      </c>
    </row>
    <row r="65" spans="2:15" x14ac:dyDescent="0.3">
      <c r="B65" t="s">
        <v>73</v>
      </c>
      <c r="C65">
        <f>-C55</f>
        <v>0.75</v>
      </c>
      <c r="D65">
        <f t="shared" si="6"/>
        <v>0.75</v>
      </c>
      <c r="E65">
        <f t="shared" si="6"/>
        <v>0.75</v>
      </c>
      <c r="F65">
        <f t="shared" si="6"/>
        <v>0.75</v>
      </c>
      <c r="G65">
        <f t="shared" si="6"/>
        <v>0</v>
      </c>
    </row>
    <row r="66" spans="2:15" x14ac:dyDescent="0.3">
      <c r="B66" t="s">
        <v>54</v>
      </c>
      <c r="C66">
        <f>C58+C59</f>
        <v>3.5</v>
      </c>
      <c r="D66">
        <f t="shared" ref="D66:G66" si="7">D58+D59</f>
        <v>0</v>
      </c>
      <c r="E66">
        <f t="shared" si="7"/>
        <v>0</v>
      </c>
      <c r="F66">
        <f t="shared" si="7"/>
        <v>0</v>
      </c>
      <c r="G66">
        <f t="shared" si="7"/>
        <v>0</v>
      </c>
    </row>
    <row r="68" spans="2:15" x14ac:dyDescent="0.3">
      <c r="B68" t="s">
        <v>55</v>
      </c>
    </row>
    <row r="69" spans="2:15" x14ac:dyDescent="0.3">
      <c r="C69">
        <v>1</v>
      </c>
      <c r="D69">
        <v>2</v>
      </c>
      <c r="E69">
        <v>3</v>
      </c>
      <c r="F69">
        <v>4</v>
      </c>
      <c r="G69">
        <v>5</v>
      </c>
      <c r="I69" t="s">
        <v>56</v>
      </c>
      <c r="K69" t="s">
        <v>74</v>
      </c>
    </row>
    <row r="70" spans="2:15" x14ac:dyDescent="0.3">
      <c r="B70">
        <v>1</v>
      </c>
      <c r="C70">
        <f>C63</f>
        <v>2.75</v>
      </c>
      <c r="D70">
        <f>C65</f>
        <v>0.75</v>
      </c>
      <c r="E70">
        <v>0</v>
      </c>
      <c r="F70">
        <v>0</v>
      </c>
      <c r="G70">
        <v>0</v>
      </c>
      <c r="I70">
        <f>$C$66</f>
        <v>3.5</v>
      </c>
      <c r="K70" cm="1">
        <f t="array" ref="K70:O74">MINVERSE(C70:G74)</f>
        <v>0.29589442815249267</v>
      </c>
      <c r="L70">
        <v>-0.1064516129032258</v>
      </c>
      <c r="M70">
        <v>6.5982404692082108E-2</v>
      </c>
      <c r="N70">
        <v>-7.917888563049872E-3</v>
      </c>
      <c r="O70">
        <v>2.3753665689149554E-2</v>
      </c>
    </row>
    <row r="71" spans="2:15" x14ac:dyDescent="0.3">
      <c r="B71">
        <v>2</v>
      </c>
      <c r="C71">
        <f>D64</f>
        <v>-1.75</v>
      </c>
      <c r="D71">
        <f>D63</f>
        <v>1</v>
      </c>
      <c r="E71">
        <f>D65</f>
        <v>0.75</v>
      </c>
      <c r="F71">
        <v>0</v>
      </c>
      <c r="G71">
        <v>0</v>
      </c>
      <c r="I71">
        <f>$D$66</f>
        <v>0</v>
      </c>
      <c r="K71">
        <v>0.24838709677419354</v>
      </c>
      <c r="L71">
        <v>0.39032258064516129</v>
      </c>
      <c r="M71">
        <v>-0.24193548387096772</v>
      </c>
      <c r="N71">
        <v>2.90322580645162E-2</v>
      </c>
      <c r="O71">
        <v>-8.7096774193548374E-2</v>
      </c>
    </row>
    <row r="72" spans="2:15" x14ac:dyDescent="0.3">
      <c r="B72">
        <v>3</v>
      </c>
      <c r="C72">
        <v>0</v>
      </c>
      <c r="D72">
        <f t="shared" ref="D72:F72" si="8">C71</f>
        <v>-1.75</v>
      </c>
      <c r="E72">
        <f t="shared" si="8"/>
        <v>1</v>
      </c>
      <c r="F72">
        <f t="shared" si="8"/>
        <v>0.75</v>
      </c>
      <c r="G72">
        <v>0</v>
      </c>
      <c r="I72">
        <f>$E$66</f>
        <v>0</v>
      </c>
      <c r="K72">
        <v>0.35923753665689151</v>
      </c>
      <c r="L72">
        <v>0.56451612903225812</v>
      </c>
      <c r="M72">
        <v>0.47653958944281527</v>
      </c>
      <c r="N72">
        <v>-5.7184750733137717E-2</v>
      </c>
      <c r="O72">
        <v>0.1715542521994135</v>
      </c>
    </row>
    <row r="73" spans="2:15" x14ac:dyDescent="0.3">
      <c r="B73">
        <v>4</v>
      </c>
      <c r="C73">
        <v>0</v>
      </c>
      <c r="D73">
        <v>0</v>
      </c>
      <c r="E73">
        <f t="shared" ref="E73:G73" si="9">C71</f>
        <v>-1.75</v>
      </c>
      <c r="F73">
        <f t="shared" si="9"/>
        <v>1</v>
      </c>
      <c r="G73">
        <f t="shared" si="9"/>
        <v>0.75</v>
      </c>
      <c r="I73">
        <f>$F$66</f>
        <v>0</v>
      </c>
      <c r="K73">
        <v>0.10058651026392962</v>
      </c>
      <c r="L73">
        <v>0.15806451612903225</v>
      </c>
      <c r="M73">
        <v>0.13343108504398829</v>
      </c>
      <c r="N73">
        <v>0.14398826979472143</v>
      </c>
      <c r="O73">
        <v>-0.43196480938416421</v>
      </c>
    </row>
    <row r="74" spans="2:15" x14ac:dyDescent="0.3">
      <c r="B74">
        <v>5</v>
      </c>
      <c r="C74">
        <v>0</v>
      </c>
      <c r="D74">
        <v>0</v>
      </c>
      <c r="E74">
        <v>0</v>
      </c>
      <c r="F74">
        <f>G64</f>
        <v>-1.75</v>
      </c>
      <c r="G74">
        <f>G63</f>
        <v>0.25</v>
      </c>
      <c r="I74">
        <f>$G$66</f>
        <v>0</v>
      </c>
      <c r="K74">
        <v>0.70410557184750733</v>
      </c>
      <c r="L74">
        <v>1.1064516129032258</v>
      </c>
      <c r="M74">
        <v>0.93401759530791795</v>
      </c>
      <c r="N74">
        <v>1.00791788856305</v>
      </c>
      <c r="O74">
        <v>0.97624633431085051</v>
      </c>
    </row>
    <row r="76" spans="2:15" x14ac:dyDescent="0.3">
      <c r="B76" t="s">
        <v>75</v>
      </c>
      <c r="C76" t="s">
        <v>32</v>
      </c>
      <c r="D76" t="s">
        <v>59</v>
      </c>
      <c r="E76" t="s">
        <v>60</v>
      </c>
      <c r="F76" t="s">
        <v>76</v>
      </c>
      <c r="G76" t="s">
        <v>62</v>
      </c>
    </row>
    <row r="77" spans="2:15" x14ac:dyDescent="0.3">
      <c r="C77">
        <v>0</v>
      </c>
      <c r="D77">
        <f>C8</f>
        <v>1</v>
      </c>
      <c r="E77">
        <f>$C$8+($C$9-$C$8)*(EXP($C$15*$C$13*C77/$C$14)-1)/(EXP($C$15*$C$13*$C$10/$C$14)-1)</f>
        <v>1</v>
      </c>
      <c r="F77" s="1">
        <f>IFERROR(ABS((E77-D77)/E77),0)</f>
        <v>0</v>
      </c>
      <c r="G77" s="1">
        <f>AVERAGE(F77:F83)</f>
        <v>0.39373014925259792</v>
      </c>
    </row>
    <row r="78" spans="2:15" x14ac:dyDescent="0.3">
      <c r="B78">
        <v>1</v>
      </c>
      <c r="C78">
        <f>C77+C12/2</f>
        <v>0.1</v>
      </c>
      <c r="D78" cm="1">
        <f t="array" ref="D78:D82">MMULT(K70:O74,I70:I74)</f>
        <v>1.0356304985337244</v>
      </c>
      <c r="E78">
        <f t="shared" ref="E78:E82" si="10">$C$8+($C$9-$C$8)*(EXP($C$15*$C$13*C78/$C$14)-1)/(EXP($C$15*$C$13*$C$10/$C$14)-1)</f>
        <v>0.99999999984469812</v>
      </c>
      <c r="F78" s="1">
        <f t="shared" ref="F78:F83" si="11">IFERROR(ABS((E78-D78)/E78),0)</f>
        <v>3.5630498694559719E-2</v>
      </c>
    </row>
    <row r="79" spans="2:15" x14ac:dyDescent="0.3">
      <c r="B79">
        <v>2</v>
      </c>
      <c r="C79">
        <f>C78+$C$12</f>
        <v>0.30000000000000004</v>
      </c>
      <c r="D79">
        <v>0.86935483870967745</v>
      </c>
      <c r="E79">
        <f t="shared" si="10"/>
        <v>0.99999997490389636</v>
      </c>
      <c r="F79" s="1">
        <f t="shared" si="11"/>
        <v>0.13064513947290288</v>
      </c>
    </row>
    <row r="80" spans="2:15" x14ac:dyDescent="0.3">
      <c r="B80">
        <v>3</v>
      </c>
      <c r="C80">
        <f t="shared" ref="C80:C82" si="12">C79+$C$12</f>
        <v>0.5</v>
      </c>
      <c r="D80">
        <v>1.2573313782991202</v>
      </c>
      <c r="E80">
        <f t="shared" si="10"/>
        <v>0.99999627336071584</v>
      </c>
      <c r="F80" s="1">
        <f t="shared" si="11"/>
        <v>0.25733606393708947</v>
      </c>
    </row>
    <row r="81" spans="2:6" x14ac:dyDescent="0.3">
      <c r="B81">
        <v>4</v>
      </c>
      <c r="C81">
        <f t="shared" si="12"/>
        <v>0.7</v>
      </c>
      <c r="D81">
        <v>0.35205278592375366</v>
      </c>
      <c r="E81">
        <f t="shared" si="10"/>
        <v>0.99944691564373245</v>
      </c>
      <c r="F81" s="1">
        <f t="shared" si="11"/>
        <v>0.6477523914344161</v>
      </c>
    </row>
    <row r="82" spans="2:6" x14ac:dyDescent="0.3">
      <c r="B82">
        <v>5</v>
      </c>
      <c r="C82">
        <f t="shared" si="12"/>
        <v>0.89999999999999991</v>
      </c>
      <c r="D82">
        <v>2.4643695014662756</v>
      </c>
      <c r="E82">
        <f t="shared" si="10"/>
        <v>0.91791500138884918</v>
      </c>
      <c r="F82" s="1">
        <f t="shared" si="11"/>
        <v>1.6847469512292172</v>
      </c>
    </row>
    <row r="83" spans="2:6" x14ac:dyDescent="0.3">
      <c r="C83">
        <f>C82+C12/2</f>
        <v>0.99999999999999989</v>
      </c>
      <c r="D83">
        <f>C9</f>
        <v>0</v>
      </c>
      <c r="E83">
        <v>0</v>
      </c>
      <c r="F83" s="1">
        <f t="shared" si="11"/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38618-2B09-4152-AC7B-8FBF50BF7414}">
  <dimension ref="B7:O83"/>
  <sheetViews>
    <sheetView topLeftCell="A64" zoomScale="85" zoomScaleNormal="85" workbookViewId="0">
      <selection activeCell="C77" sqref="C77:D83"/>
    </sheetView>
  </sheetViews>
  <sheetFormatPr defaultRowHeight="14.4" x14ac:dyDescent="0.3"/>
  <sheetData>
    <row r="7" spans="2:5" x14ac:dyDescent="0.3">
      <c r="B7" t="s">
        <v>36</v>
      </c>
    </row>
    <row r="8" spans="2:5" x14ac:dyDescent="0.3">
      <c r="B8" t="s">
        <v>63</v>
      </c>
      <c r="C8">
        <v>1</v>
      </c>
    </row>
    <row r="9" spans="2:5" x14ac:dyDescent="0.3">
      <c r="B9" t="s">
        <v>64</v>
      </c>
      <c r="C9">
        <v>0</v>
      </c>
    </row>
    <row r="10" spans="2:5" x14ac:dyDescent="0.3">
      <c r="B10" t="s">
        <v>42</v>
      </c>
      <c r="C10">
        <v>1</v>
      </c>
    </row>
    <row r="11" spans="2:5" x14ac:dyDescent="0.3">
      <c r="B11" t="s">
        <v>65</v>
      </c>
      <c r="C11">
        <v>5</v>
      </c>
      <c r="D11" t="s">
        <v>44</v>
      </c>
      <c r="E11">
        <f>C11</f>
        <v>5</v>
      </c>
    </row>
    <row r="12" spans="2:5" x14ac:dyDescent="0.3">
      <c r="B12" t="s">
        <v>5</v>
      </c>
      <c r="C12">
        <f>C10/C11</f>
        <v>0.2</v>
      </c>
    </row>
    <row r="13" spans="2:5" x14ac:dyDescent="0.3">
      <c r="B13" t="s">
        <v>66</v>
      </c>
      <c r="C13">
        <v>0.1</v>
      </c>
    </row>
    <row r="14" spans="2:5" x14ac:dyDescent="0.3">
      <c r="B14" t="s">
        <v>67</v>
      </c>
      <c r="C14">
        <v>0.1</v>
      </c>
    </row>
    <row r="15" spans="2:5" x14ac:dyDescent="0.3">
      <c r="B15" t="s">
        <v>69</v>
      </c>
      <c r="C15">
        <v>1</v>
      </c>
    </row>
    <row r="16" spans="2:5" x14ac:dyDescent="0.3">
      <c r="B16" t="s">
        <v>68</v>
      </c>
      <c r="C16">
        <f>C15*C13*C12/C14</f>
        <v>0.20000000000000004</v>
      </c>
    </row>
    <row r="18" spans="2:2" x14ac:dyDescent="0.3">
      <c r="B18" t="s">
        <v>70</v>
      </c>
    </row>
    <row r="27" spans="2:2" x14ac:dyDescent="0.3">
      <c r="B27" t="s">
        <v>10</v>
      </c>
    </row>
    <row r="51" spans="2:7" x14ac:dyDescent="0.3">
      <c r="B51" t="s">
        <v>11</v>
      </c>
    </row>
    <row r="52" spans="2:7" x14ac:dyDescent="0.3">
      <c r="C52">
        <v>1</v>
      </c>
      <c r="D52">
        <v>2</v>
      </c>
      <c r="E52">
        <v>3</v>
      </c>
      <c r="F52">
        <v>4</v>
      </c>
      <c r="G52">
        <v>5</v>
      </c>
    </row>
    <row r="53" spans="2:7" x14ac:dyDescent="0.3">
      <c r="B53" t="s">
        <v>18</v>
      </c>
      <c r="C53">
        <f>C54+C55</f>
        <v>0.45</v>
      </c>
      <c r="D53">
        <f t="shared" ref="D53:G53" si="0">D54+D55</f>
        <v>1</v>
      </c>
      <c r="E53">
        <f t="shared" si="0"/>
        <v>1</v>
      </c>
      <c r="F53">
        <f t="shared" si="0"/>
        <v>1</v>
      </c>
      <c r="G53">
        <f t="shared" si="0"/>
        <v>0.55000000000000004</v>
      </c>
    </row>
    <row r="54" spans="2:7" x14ac:dyDescent="0.3">
      <c r="B54" t="s">
        <v>16</v>
      </c>
      <c r="C54">
        <f>IF(C52=1,0,MAX(ABS(0.5*$C$15*$C$13),$C$14/$C$12)+0.5*$C$15*$C$13)</f>
        <v>0</v>
      </c>
      <c r="D54">
        <f t="shared" ref="D54:G54" si="1">IF(D52=1,0,MAX(ABS(0.5*$C$15*$C$13),$C$14/$C$12)+0.5*$C$15*$C$13)</f>
        <v>0.55000000000000004</v>
      </c>
      <c r="E54">
        <f t="shared" si="1"/>
        <v>0.55000000000000004</v>
      </c>
      <c r="F54">
        <f t="shared" si="1"/>
        <v>0.55000000000000004</v>
      </c>
      <c r="G54">
        <f t="shared" si="1"/>
        <v>0.55000000000000004</v>
      </c>
    </row>
    <row r="55" spans="2:7" x14ac:dyDescent="0.3">
      <c r="B55" t="s">
        <v>17</v>
      </c>
      <c r="C55">
        <f>IF(C52=5,0,MAX(ABS(0.5*$C$15*$C$13),$C$14/$C$12)-0.5*$C$15*$C$13)</f>
        <v>0.45</v>
      </c>
      <c r="D55">
        <f t="shared" ref="D55:G55" si="2">IF(D52=5,0,MAX(ABS(0.5*$C$15*$C$13),$C$14/$C$12)-0.5*$C$15*$C$13)</f>
        <v>0.45</v>
      </c>
      <c r="E55">
        <f t="shared" si="2"/>
        <v>0.45</v>
      </c>
      <c r="F55">
        <f t="shared" si="2"/>
        <v>0.45</v>
      </c>
      <c r="G55">
        <f t="shared" si="2"/>
        <v>0</v>
      </c>
    </row>
    <row r="56" spans="2:7" x14ac:dyDescent="0.3">
      <c r="B56" t="s">
        <v>19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2:7" x14ac:dyDescent="0.3">
      <c r="B57" t="s">
        <v>49</v>
      </c>
      <c r="C57">
        <f>IF(C52=1,-(2*$C$14/$C$12+$C$15*$C$13),IF(C52=5,-2*$C$14/$C$12,0))</f>
        <v>-1.1000000000000001</v>
      </c>
      <c r="D57">
        <f t="shared" ref="D57:G57" si="3">IF(D52=1,-(2*$C$14/$C$12+$C$15*$C$13),IF(D52=5,-2*$C$14/$C$12,0))</f>
        <v>0</v>
      </c>
      <c r="E57">
        <f t="shared" si="3"/>
        <v>0</v>
      </c>
      <c r="F57">
        <f t="shared" si="3"/>
        <v>0</v>
      </c>
      <c r="G57">
        <f t="shared" si="3"/>
        <v>-1</v>
      </c>
    </row>
    <row r="58" spans="2:7" x14ac:dyDescent="0.3">
      <c r="B58" t="s">
        <v>20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2:7" x14ac:dyDescent="0.3">
      <c r="B59" t="s">
        <v>50</v>
      </c>
      <c r="C59">
        <f>IF(C52=1,(-C57*$C$8),IF(C52=5,(-C57*$C$9),0))</f>
        <v>1.1000000000000001</v>
      </c>
      <c r="D59">
        <f t="shared" ref="D59:G59" si="4">IF(D52=1,(-D57*$C$8),IF(D52=5,(-D57*$C$9),0))</f>
        <v>0</v>
      </c>
      <c r="E59">
        <f t="shared" si="4"/>
        <v>0</v>
      </c>
      <c r="F59">
        <f t="shared" si="4"/>
        <v>0</v>
      </c>
      <c r="G59">
        <f t="shared" si="4"/>
        <v>0</v>
      </c>
    </row>
    <row r="61" spans="2:7" x14ac:dyDescent="0.3">
      <c r="B61" t="s">
        <v>24</v>
      </c>
    </row>
    <row r="62" spans="2:7" x14ac:dyDescent="0.3">
      <c r="C62">
        <v>1</v>
      </c>
      <c r="D62">
        <v>2</v>
      </c>
      <c r="E62">
        <v>3</v>
      </c>
      <c r="F62">
        <v>4</v>
      </c>
      <c r="G62">
        <v>5</v>
      </c>
    </row>
    <row r="63" spans="2:7" x14ac:dyDescent="0.3">
      <c r="B63" t="s">
        <v>71</v>
      </c>
      <c r="C63">
        <f>C53-C56-C57</f>
        <v>1.55</v>
      </c>
      <c r="D63">
        <f t="shared" ref="D63:G63" si="5">D53-D56-D57</f>
        <v>1</v>
      </c>
      <c r="E63">
        <f t="shared" si="5"/>
        <v>1</v>
      </c>
      <c r="F63">
        <f t="shared" si="5"/>
        <v>1</v>
      </c>
      <c r="G63">
        <f t="shared" si="5"/>
        <v>1.55</v>
      </c>
    </row>
    <row r="64" spans="2:7" x14ac:dyDescent="0.3">
      <c r="B64" t="s">
        <v>72</v>
      </c>
      <c r="C64">
        <f>-C54</f>
        <v>0</v>
      </c>
      <c r="D64">
        <f t="shared" ref="D64:G65" si="6">-D54</f>
        <v>-0.55000000000000004</v>
      </c>
      <c r="E64">
        <f t="shared" si="6"/>
        <v>-0.55000000000000004</v>
      </c>
      <c r="F64">
        <f t="shared" si="6"/>
        <v>-0.55000000000000004</v>
      </c>
      <c r="G64">
        <f t="shared" si="6"/>
        <v>-0.55000000000000004</v>
      </c>
    </row>
    <row r="65" spans="2:15" x14ac:dyDescent="0.3">
      <c r="B65" t="s">
        <v>73</v>
      </c>
      <c r="C65">
        <f>-C55</f>
        <v>-0.45</v>
      </c>
      <c r="D65">
        <f t="shared" si="6"/>
        <v>-0.45</v>
      </c>
      <c r="E65">
        <f t="shared" si="6"/>
        <v>-0.45</v>
      </c>
      <c r="F65">
        <f t="shared" si="6"/>
        <v>-0.45</v>
      </c>
      <c r="G65">
        <f t="shared" si="6"/>
        <v>0</v>
      </c>
    </row>
    <row r="66" spans="2:15" x14ac:dyDescent="0.3">
      <c r="B66" t="s">
        <v>54</v>
      </c>
      <c r="C66">
        <f>C58+C59</f>
        <v>1.1000000000000001</v>
      </c>
      <c r="D66">
        <f t="shared" ref="D66:G66" si="7">D58+D59</f>
        <v>0</v>
      </c>
      <c r="E66">
        <f t="shared" si="7"/>
        <v>0</v>
      </c>
      <c r="F66">
        <f t="shared" si="7"/>
        <v>0</v>
      </c>
      <c r="G66">
        <f t="shared" si="7"/>
        <v>0</v>
      </c>
    </row>
    <row r="68" spans="2:15" x14ac:dyDescent="0.3">
      <c r="B68" t="s">
        <v>55</v>
      </c>
    </row>
    <row r="69" spans="2:15" x14ac:dyDescent="0.3">
      <c r="C69">
        <v>1</v>
      </c>
      <c r="D69">
        <v>2</v>
      </c>
      <c r="E69">
        <v>3</v>
      </c>
      <c r="F69">
        <v>4</v>
      </c>
      <c r="G69">
        <v>5</v>
      </c>
      <c r="I69" t="s">
        <v>56</v>
      </c>
      <c r="K69" t="s">
        <v>74</v>
      </c>
    </row>
    <row r="70" spans="2:15" x14ac:dyDescent="0.3">
      <c r="B70">
        <v>1</v>
      </c>
      <c r="C70">
        <f>C63</f>
        <v>1.55</v>
      </c>
      <c r="D70">
        <f>C65</f>
        <v>-0.45</v>
      </c>
      <c r="E70">
        <v>0</v>
      </c>
      <c r="F70">
        <v>0</v>
      </c>
      <c r="G70">
        <v>0</v>
      </c>
      <c r="I70">
        <f>$C$66</f>
        <v>1.1000000000000001</v>
      </c>
      <c r="K70" cm="1">
        <f t="array" ref="K70:O74">MINVERSE(C70:G74)</f>
        <v>0.85561933586203376</v>
      </c>
      <c r="L70">
        <v>0.59310903742936794</v>
      </c>
      <c r="M70">
        <v>0.37832788416627755</v>
      </c>
      <c r="N70">
        <v>0.20259784967829456</v>
      </c>
      <c r="O70">
        <v>5.8818730551762934E-2</v>
      </c>
    </row>
    <row r="71" spans="2:15" x14ac:dyDescent="0.3">
      <c r="B71">
        <v>2</v>
      </c>
      <c r="C71">
        <f>D64</f>
        <v>-0.55000000000000004</v>
      </c>
      <c r="D71">
        <f>D63</f>
        <v>1</v>
      </c>
      <c r="E71">
        <f>D65</f>
        <v>-0.45</v>
      </c>
      <c r="F71">
        <v>0</v>
      </c>
      <c r="G71">
        <v>0</v>
      </c>
      <c r="I71">
        <f>$D$66</f>
        <v>0</v>
      </c>
      <c r="K71">
        <v>0.72491104574700516</v>
      </c>
      <c r="L71">
        <v>2.0429311289233785</v>
      </c>
      <c r="M71">
        <v>1.3031293787949561</v>
      </c>
      <c r="N71">
        <v>0.69783703778079231</v>
      </c>
      <c r="O71">
        <v>0.20259784967829456</v>
      </c>
    </row>
    <row r="72" spans="2:15" x14ac:dyDescent="0.3">
      <c r="B72">
        <v>3</v>
      </c>
      <c r="C72">
        <v>0</v>
      </c>
      <c r="D72">
        <f t="shared" ref="D72:F72" si="8">C71</f>
        <v>-0.55000000000000004</v>
      </c>
      <c r="E72">
        <f t="shared" si="8"/>
        <v>1</v>
      </c>
      <c r="F72">
        <f t="shared" si="8"/>
        <v>-0.45</v>
      </c>
      <c r="G72">
        <v>0</v>
      </c>
      <c r="I72">
        <f>$E$66</f>
        <v>0</v>
      </c>
      <c r="K72">
        <v>0.56515646893974814</v>
      </c>
      <c r="L72">
        <v>1.5927136851938355</v>
      </c>
      <c r="M72">
        <v>2.4334423166744519</v>
      </c>
      <c r="N72">
        <v>1.3031293787949563</v>
      </c>
      <c r="O72">
        <v>0.37832788416627761</v>
      </c>
    </row>
    <row r="73" spans="2:15" x14ac:dyDescent="0.3">
      <c r="B73">
        <v>4</v>
      </c>
      <c r="C73">
        <v>0</v>
      </c>
      <c r="D73">
        <v>0</v>
      </c>
      <c r="E73">
        <f t="shared" ref="E73:G73" si="9">C71</f>
        <v>-0.55000000000000004</v>
      </c>
      <c r="F73">
        <f t="shared" si="9"/>
        <v>1</v>
      </c>
      <c r="G73">
        <f t="shared" si="9"/>
        <v>-0.45</v>
      </c>
      <c r="I73">
        <f>$F$66</f>
        <v>0</v>
      </c>
      <c r="K73">
        <v>0.36990087506421138</v>
      </c>
      <c r="L73">
        <v>1.0424479206355048</v>
      </c>
      <c r="M73">
        <v>1.5927136851938353</v>
      </c>
      <c r="N73">
        <v>2.0429311289233785</v>
      </c>
      <c r="O73">
        <v>0.59310903742936794</v>
      </c>
    </row>
    <row r="74" spans="2:15" x14ac:dyDescent="0.3">
      <c r="B74">
        <v>5</v>
      </c>
      <c r="C74">
        <v>0</v>
      </c>
      <c r="D74">
        <v>0</v>
      </c>
      <c r="E74">
        <v>0</v>
      </c>
      <c r="F74">
        <f>G64</f>
        <v>-0.55000000000000004</v>
      </c>
      <c r="G74">
        <f>G63</f>
        <v>1.55</v>
      </c>
      <c r="I74">
        <f>$G$66</f>
        <v>0</v>
      </c>
      <c r="K74">
        <v>0.13125514921633308</v>
      </c>
      <c r="L74">
        <v>0.36990087506421138</v>
      </c>
      <c r="M74">
        <v>0.56515646893974802</v>
      </c>
      <c r="N74">
        <v>0.72491104574700527</v>
      </c>
      <c r="O74">
        <v>0.85561933586203376</v>
      </c>
    </row>
    <row r="76" spans="2:15" x14ac:dyDescent="0.3">
      <c r="B76" t="s">
        <v>75</v>
      </c>
      <c r="C76" t="s">
        <v>32</v>
      </c>
      <c r="D76" t="s">
        <v>59</v>
      </c>
      <c r="E76" t="s">
        <v>60</v>
      </c>
      <c r="F76" t="s">
        <v>76</v>
      </c>
      <c r="G76" t="s">
        <v>62</v>
      </c>
    </row>
    <row r="77" spans="2:15" x14ac:dyDescent="0.3">
      <c r="C77">
        <v>0</v>
      </c>
      <c r="D77">
        <f>C8</f>
        <v>1</v>
      </c>
      <c r="E77">
        <f>$C$8+($C$9-$C$8)*(EXP($C$15*$C$13*C77/$C$14)-1)/(EXP($C$15*$C$13*$C$10/$C$14)-1)</f>
        <v>1</v>
      </c>
      <c r="F77" s="1">
        <f>IFERROR(ABS((E77-D77)/E77),0)</f>
        <v>0</v>
      </c>
      <c r="G77" s="1">
        <f>AVERAGE(F77:F83)</f>
        <v>7.6651767701076184E-3</v>
      </c>
    </row>
    <row r="78" spans="2:15" x14ac:dyDescent="0.3">
      <c r="B78">
        <v>1</v>
      </c>
      <c r="C78">
        <f>C77+C12/2</f>
        <v>0.1</v>
      </c>
      <c r="D78" cm="1">
        <f t="array" ref="D78:D82">MMULT(K70:O74,I70:I74)</f>
        <v>0.94118126944823721</v>
      </c>
      <c r="E78">
        <f t="shared" ref="E78:E83" si="10">$C$8+($C$9-$C$8)*(EXP($C$15*$C$13*C78/$C$14)-1)/(EXP($C$15*$C$13*$C$10/$C$14)-1)</f>
        <v>0.9387929754399108</v>
      </c>
      <c r="F78" s="1">
        <f t="shared" ref="F78:F83" si="11">IFERROR(ABS((E78-D78)/E78),0)</f>
        <v>2.5440049838541591E-3</v>
      </c>
    </row>
    <row r="79" spans="2:15" x14ac:dyDescent="0.3">
      <c r="B79">
        <v>2</v>
      </c>
      <c r="C79">
        <f>C78+$C$12</f>
        <v>0.30000000000000004</v>
      </c>
      <c r="D79">
        <v>0.79740215032170569</v>
      </c>
      <c r="E79">
        <f t="shared" si="10"/>
        <v>0.79639032329768833</v>
      </c>
      <c r="F79" s="1">
        <f t="shared" si="11"/>
        <v>1.2705164721585227E-3</v>
      </c>
    </row>
    <row r="80" spans="2:15" x14ac:dyDescent="0.3">
      <c r="B80">
        <v>3</v>
      </c>
      <c r="C80">
        <f t="shared" ref="C80:C82" si="12">C79+$C$12</f>
        <v>0.5</v>
      </c>
      <c r="D80">
        <v>0.62167211583372295</v>
      </c>
      <c r="E80">
        <f t="shared" si="10"/>
        <v>0.62245933120185448</v>
      </c>
      <c r="F80" s="1">
        <f t="shared" si="11"/>
        <v>1.2646856247002754E-3</v>
      </c>
    </row>
    <row r="81" spans="2:6" x14ac:dyDescent="0.3">
      <c r="B81">
        <v>4</v>
      </c>
      <c r="C81">
        <f t="shared" si="12"/>
        <v>0.7</v>
      </c>
      <c r="D81">
        <v>0.40689096257063256</v>
      </c>
      <c r="E81">
        <f t="shared" si="10"/>
        <v>0.4100195377264686</v>
      </c>
      <c r="F81" s="1">
        <f t="shared" si="11"/>
        <v>7.6303075048173965E-3</v>
      </c>
    </row>
    <row r="82" spans="2:6" x14ac:dyDescent="0.3">
      <c r="B82">
        <v>5</v>
      </c>
      <c r="C82">
        <f t="shared" si="12"/>
        <v>0.89999999999999991</v>
      </c>
      <c r="D82">
        <v>0.14438066413796641</v>
      </c>
      <c r="E82">
        <f t="shared" si="10"/>
        <v>0.15054498803265515</v>
      </c>
      <c r="F82" s="1">
        <f t="shared" si="11"/>
        <v>4.094672280522297E-2</v>
      </c>
    </row>
    <row r="83" spans="2:6" x14ac:dyDescent="0.3">
      <c r="C83">
        <f>C82+C12/2</f>
        <v>0.99999999999999989</v>
      </c>
      <c r="D83">
        <f>C9</f>
        <v>0</v>
      </c>
      <c r="E83">
        <f t="shared" si="10"/>
        <v>0</v>
      </c>
      <c r="F83" s="1">
        <f t="shared" si="11"/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F41B-21AA-4EE3-B956-3DC518F5A589}">
  <dimension ref="B7:O83"/>
  <sheetViews>
    <sheetView topLeftCell="A68" zoomScaleNormal="100" workbookViewId="0">
      <selection activeCell="C77" sqref="C77:D83"/>
    </sheetView>
  </sheetViews>
  <sheetFormatPr defaultRowHeight="14.4" x14ac:dyDescent="0.3"/>
  <sheetData>
    <row r="7" spans="2:5" x14ac:dyDescent="0.3">
      <c r="B7" t="s">
        <v>36</v>
      </c>
    </row>
    <row r="8" spans="2:5" x14ac:dyDescent="0.3">
      <c r="B8" t="s">
        <v>63</v>
      </c>
      <c r="C8">
        <v>1</v>
      </c>
    </row>
    <row r="9" spans="2:5" x14ac:dyDescent="0.3">
      <c r="B9" t="s">
        <v>64</v>
      </c>
      <c r="C9">
        <v>0</v>
      </c>
    </row>
    <row r="10" spans="2:5" x14ac:dyDescent="0.3">
      <c r="B10" t="s">
        <v>42</v>
      </c>
      <c r="C10">
        <v>1</v>
      </c>
    </row>
    <row r="11" spans="2:5" x14ac:dyDescent="0.3">
      <c r="B11" t="s">
        <v>65</v>
      </c>
      <c r="C11">
        <v>5</v>
      </c>
      <c r="D11" t="s">
        <v>44</v>
      </c>
      <c r="E11">
        <f>C11</f>
        <v>5</v>
      </c>
    </row>
    <row r="12" spans="2:5" x14ac:dyDescent="0.3">
      <c r="B12" t="s">
        <v>5</v>
      </c>
      <c r="C12">
        <f>C10/C11</f>
        <v>0.2</v>
      </c>
    </row>
    <row r="13" spans="2:5" x14ac:dyDescent="0.3">
      <c r="B13" t="s">
        <v>66</v>
      </c>
      <c r="C13">
        <v>2.5</v>
      </c>
    </row>
    <row r="14" spans="2:5" x14ac:dyDescent="0.3">
      <c r="B14" t="s">
        <v>67</v>
      </c>
      <c r="C14">
        <v>0.1</v>
      </c>
    </row>
    <row r="15" spans="2:5" x14ac:dyDescent="0.3">
      <c r="B15" t="s">
        <v>69</v>
      </c>
      <c r="C15">
        <v>1</v>
      </c>
    </row>
    <row r="16" spans="2:5" x14ac:dyDescent="0.3">
      <c r="B16" t="s">
        <v>68</v>
      </c>
      <c r="C16">
        <f>C15*C13*C12/C14</f>
        <v>5</v>
      </c>
    </row>
    <row r="18" spans="2:2" x14ac:dyDescent="0.3">
      <c r="B18" t="s">
        <v>70</v>
      </c>
    </row>
    <row r="27" spans="2:2" x14ac:dyDescent="0.3">
      <c r="B27" t="s">
        <v>10</v>
      </c>
    </row>
    <row r="51" spans="2:7" x14ac:dyDescent="0.3">
      <c r="B51" t="s">
        <v>11</v>
      </c>
    </row>
    <row r="52" spans="2:7" x14ac:dyDescent="0.3">
      <c r="C52">
        <v>1</v>
      </c>
      <c r="D52">
        <v>2</v>
      </c>
      <c r="E52">
        <v>3</v>
      </c>
      <c r="F52">
        <v>4</v>
      </c>
      <c r="G52">
        <v>5</v>
      </c>
    </row>
    <row r="53" spans="2:7" x14ac:dyDescent="0.3">
      <c r="B53" t="s">
        <v>18</v>
      </c>
      <c r="C53">
        <f>C54+C55</f>
        <v>0</v>
      </c>
      <c r="D53">
        <f t="shared" ref="D53:G53" si="0">D54+D55</f>
        <v>2.5</v>
      </c>
      <c r="E53">
        <f t="shared" si="0"/>
        <v>2.5</v>
      </c>
      <c r="F53">
        <f t="shared" si="0"/>
        <v>2.5</v>
      </c>
      <c r="G53">
        <f t="shared" si="0"/>
        <v>2.5</v>
      </c>
    </row>
    <row r="54" spans="2:7" x14ac:dyDescent="0.3">
      <c r="B54" t="s">
        <v>16</v>
      </c>
      <c r="C54">
        <f>IF(C52=1,0,MAX(ABS(0.5*$C$15*$C$13),$C$14/$C$12)+0.5*$C$15*$C$13)</f>
        <v>0</v>
      </c>
      <c r="D54">
        <f t="shared" ref="D54:G54" si="1">IF(D52=1,0,MAX(ABS(0.5*$C$15*$C$13),$C$14/$C$12)+0.5*$C$15*$C$13)</f>
        <v>2.5</v>
      </c>
      <c r="E54">
        <f t="shared" si="1"/>
        <v>2.5</v>
      </c>
      <c r="F54">
        <f t="shared" si="1"/>
        <v>2.5</v>
      </c>
      <c r="G54">
        <f t="shared" si="1"/>
        <v>2.5</v>
      </c>
    </row>
    <row r="55" spans="2:7" x14ac:dyDescent="0.3">
      <c r="B55" t="s">
        <v>17</v>
      </c>
      <c r="C55">
        <f>IF(C52=5,0,MAX(ABS(0.5*$C$15*$C$13),$C$14/$C$12)-0.5*$C$15*$C$13)</f>
        <v>0</v>
      </c>
      <c r="D55">
        <f t="shared" ref="D55:G55" si="2">IF(D52=5,0,MAX(ABS(0.5*$C$15*$C$13),$C$14/$C$12)-0.5*$C$15*$C$13)</f>
        <v>0</v>
      </c>
      <c r="E55">
        <f t="shared" si="2"/>
        <v>0</v>
      </c>
      <c r="F55">
        <f t="shared" si="2"/>
        <v>0</v>
      </c>
      <c r="G55">
        <f t="shared" si="2"/>
        <v>0</v>
      </c>
    </row>
    <row r="56" spans="2:7" x14ac:dyDescent="0.3">
      <c r="B56" t="s">
        <v>19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2:7" x14ac:dyDescent="0.3">
      <c r="B57" t="s">
        <v>49</v>
      </c>
      <c r="C57">
        <f>IF(C52=1,-(2*$C$14/$C$12+$C$15*$C$13),IF(C52=5,-2*$C$14/$C$12,0))</f>
        <v>-3.5</v>
      </c>
      <c r="D57">
        <f t="shared" ref="D57:G57" si="3">IF(D52=1,-(2*$C$14/$C$12+$C$15*$C$13),IF(D52=5,-2*$C$14/$C$12,0))</f>
        <v>0</v>
      </c>
      <c r="E57">
        <f t="shared" si="3"/>
        <v>0</v>
      </c>
      <c r="F57">
        <f t="shared" si="3"/>
        <v>0</v>
      </c>
      <c r="G57">
        <f t="shared" si="3"/>
        <v>-1</v>
      </c>
    </row>
    <row r="58" spans="2:7" x14ac:dyDescent="0.3">
      <c r="B58" t="s">
        <v>20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2:7" x14ac:dyDescent="0.3">
      <c r="B59" t="s">
        <v>50</v>
      </c>
      <c r="C59">
        <f>IF(C52=1,(-C57*$C$8),IF(C52=5,(-C57*$C$9),0))</f>
        <v>3.5</v>
      </c>
      <c r="D59">
        <f t="shared" ref="D59:G59" si="4">IF(D52=1,(-D57*$C$8),IF(D52=5,(-D57*$C$9),0))</f>
        <v>0</v>
      </c>
      <c r="E59">
        <f t="shared" si="4"/>
        <v>0</v>
      </c>
      <c r="F59">
        <f t="shared" si="4"/>
        <v>0</v>
      </c>
      <c r="G59">
        <f t="shared" si="4"/>
        <v>0</v>
      </c>
    </row>
    <row r="61" spans="2:7" x14ac:dyDescent="0.3">
      <c r="B61" t="s">
        <v>24</v>
      </c>
    </row>
    <row r="62" spans="2:7" x14ac:dyDescent="0.3">
      <c r="C62">
        <v>1</v>
      </c>
      <c r="D62">
        <v>2</v>
      </c>
      <c r="E62">
        <v>3</v>
      </c>
      <c r="F62">
        <v>4</v>
      </c>
      <c r="G62">
        <v>5</v>
      </c>
    </row>
    <row r="63" spans="2:7" x14ac:dyDescent="0.3">
      <c r="B63" t="s">
        <v>71</v>
      </c>
      <c r="C63">
        <f>C53-C56-C57</f>
        <v>3.5</v>
      </c>
      <c r="D63">
        <f t="shared" ref="D63:G63" si="5">D53-D56-D57</f>
        <v>2.5</v>
      </c>
      <c r="E63">
        <f t="shared" si="5"/>
        <v>2.5</v>
      </c>
      <c r="F63">
        <f t="shared" si="5"/>
        <v>2.5</v>
      </c>
      <c r="G63">
        <f t="shared" si="5"/>
        <v>3.5</v>
      </c>
    </row>
    <row r="64" spans="2:7" x14ac:dyDescent="0.3">
      <c r="B64" t="s">
        <v>72</v>
      </c>
      <c r="C64">
        <f>-C54</f>
        <v>0</v>
      </c>
      <c r="D64">
        <f t="shared" ref="D64:G65" si="6">-D54</f>
        <v>-2.5</v>
      </c>
      <c r="E64">
        <f t="shared" si="6"/>
        <v>-2.5</v>
      </c>
      <c r="F64">
        <f t="shared" si="6"/>
        <v>-2.5</v>
      </c>
      <c r="G64">
        <f t="shared" si="6"/>
        <v>-2.5</v>
      </c>
    </row>
    <row r="65" spans="2:15" x14ac:dyDescent="0.3">
      <c r="B65" t="s">
        <v>73</v>
      </c>
      <c r="C65">
        <f>-C55</f>
        <v>0</v>
      </c>
      <c r="D65">
        <f t="shared" si="6"/>
        <v>0</v>
      </c>
      <c r="E65">
        <f t="shared" si="6"/>
        <v>0</v>
      </c>
      <c r="F65">
        <f t="shared" si="6"/>
        <v>0</v>
      </c>
      <c r="G65">
        <f t="shared" si="6"/>
        <v>0</v>
      </c>
    </row>
    <row r="66" spans="2:15" x14ac:dyDescent="0.3">
      <c r="B66" t="s">
        <v>54</v>
      </c>
      <c r="C66">
        <f>C58+C59</f>
        <v>3.5</v>
      </c>
      <c r="D66">
        <f t="shared" ref="D66:G66" si="7">D58+D59</f>
        <v>0</v>
      </c>
      <c r="E66">
        <f t="shared" si="7"/>
        <v>0</v>
      </c>
      <c r="F66">
        <f t="shared" si="7"/>
        <v>0</v>
      </c>
      <c r="G66">
        <f t="shared" si="7"/>
        <v>0</v>
      </c>
    </row>
    <row r="68" spans="2:15" x14ac:dyDescent="0.3">
      <c r="B68" t="s">
        <v>55</v>
      </c>
    </row>
    <row r="69" spans="2:15" x14ac:dyDescent="0.3">
      <c r="C69">
        <v>1</v>
      </c>
      <c r="D69">
        <v>2</v>
      </c>
      <c r="E69">
        <v>3</v>
      </c>
      <c r="F69">
        <v>4</v>
      </c>
      <c r="G69">
        <v>5</v>
      </c>
      <c r="I69" t="s">
        <v>56</v>
      </c>
      <c r="K69" t="s">
        <v>74</v>
      </c>
    </row>
    <row r="70" spans="2:15" x14ac:dyDescent="0.3">
      <c r="B70">
        <v>1</v>
      </c>
      <c r="C70">
        <f>C63</f>
        <v>3.5</v>
      </c>
      <c r="D70">
        <f>C65</f>
        <v>0</v>
      </c>
      <c r="E70">
        <v>0</v>
      </c>
      <c r="F70">
        <v>0</v>
      </c>
      <c r="G70">
        <v>0</v>
      </c>
      <c r="I70">
        <f>$C$66</f>
        <v>3.5</v>
      </c>
      <c r="K70" cm="1">
        <f t="array" ref="K70:O74">MINVERSE(C70:G74)</f>
        <v>0.2857142857142857</v>
      </c>
      <c r="L70">
        <v>0</v>
      </c>
      <c r="M70">
        <v>0</v>
      </c>
      <c r="N70">
        <v>0</v>
      </c>
      <c r="O70">
        <v>0</v>
      </c>
    </row>
    <row r="71" spans="2:15" x14ac:dyDescent="0.3">
      <c r="B71">
        <v>2</v>
      </c>
      <c r="C71">
        <f>D64</f>
        <v>-2.5</v>
      </c>
      <c r="D71">
        <f>D63</f>
        <v>2.5</v>
      </c>
      <c r="E71">
        <f>D65</f>
        <v>0</v>
      </c>
      <c r="F71">
        <v>0</v>
      </c>
      <c r="G71">
        <v>0</v>
      </c>
      <c r="I71">
        <f>$D$66</f>
        <v>0</v>
      </c>
      <c r="K71">
        <v>0.2857142857142857</v>
      </c>
      <c r="L71">
        <v>0.4</v>
      </c>
      <c r="M71">
        <v>0</v>
      </c>
      <c r="N71">
        <v>0</v>
      </c>
      <c r="O71">
        <v>0</v>
      </c>
    </row>
    <row r="72" spans="2:15" x14ac:dyDescent="0.3">
      <c r="B72">
        <v>3</v>
      </c>
      <c r="C72">
        <v>0</v>
      </c>
      <c r="D72">
        <f t="shared" ref="D72:F72" si="8">C71</f>
        <v>-2.5</v>
      </c>
      <c r="E72">
        <f t="shared" si="8"/>
        <v>2.5</v>
      </c>
      <c r="F72">
        <f t="shared" si="8"/>
        <v>0</v>
      </c>
      <c r="G72">
        <v>0</v>
      </c>
      <c r="I72">
        <f>$E$66</f>
        <v>0</v>
      </c>
      <c r="K72">
        <v>0.2857142857142857</v>
      </c>
      <c r="L72">
        <v>0.4</v>
      </c>
      <c r="M72">
        <v>0.4</v>
      </c>
      <c r="N72">
        <v>0</v>
      </c>
      <c r="O72">
        <v>0</v>
      </c>
    </row>
    <row r="73" spans="2:15" x14ac:dyDescent="0.3">
      <c r="B73">
        <v>4</v>
      </c>
      <c r="C73">
        <v>0</v>
      </c>
      <c r="D73">
        <v>0</v>
      </c>
      <c r="E73">
        <f t="shared" ref="E73:G73" si="9">C71</f>
        <v>-2.5</v>
      </c>
      <c r="F73">
        <f t="shared" si="9"/>
        <v>2.5</v>
      </c>
      <c r="G73">
        <f t="shared" si="9"/>
        <v>0</v>
      </c>
      <c r="I73">
        <f>$F$66</f>
        <v>0</v>
      </c>
      <c r="K73">
        <v>0.2857142857142857</v>
      </c>
      <c r="L73">
        <v>0.4</v>
      </c>
      <c r="M73">
        <v>0.4</v>
      </c>
      <c r="N73">
        <v>0.4</v>
      </c>
      <c r="O73">
        <v>0</v>
      </c>
    </row>
    <row r="74" spans="2:15" x14ac:dyDescent="0.3">
      <c r="B74">
        <v>5</v>
      </c>
      <c r="C74">
        <v>0</v>
      </c>
      <c r="D74">
        <v>0</v>
      </c>
      <c r="E74">
        <v>0</v>
      </c>
      <c r="F74">
        <f>G64</f>
        <v>-2.5</v>
      </c>
      <c r="G74">
        <f>G63</f>
        <v>3.5</v>
      </c>
      <c r="I74">
        <f>$G$66</f>
        <v>0</v>
      </c>
      <c r="K74">
        <v>0.20408163265306123</v>
      </c>
      <c r="L74">
        <v>0.2857142857142857</v>
      </c>
      <c r="M74">
        <v>0.2857142857142857</v>
      </c>
      <c r="N74">
        <v>0.2857142857142857</v>
      </c>
      <c r="O74">
        <v>0.2857142857142857</v>
      </c>
    </row>
    <row r="76" spans="2:15" x14ac:dyDescent="0.3">
      <c r="B76" t="s">
        <v>75</v>
      </c>
      <c r="C76" t="s">
        <v>32</v>
      </c>
      <c r="D76" t="s">
        <v>59</v>
      </c>
      <c r="E76" t="s">
        <v>60</v>
      </c>
      <c r="F76" t="s">
        <v>76</v>
      </c>
      <c r="G76" t="s">
        <v>62</v>
      </c>
    </row>
    <row r="77" spans="2:15" x14ac:dyDescent="0.3">
      <c r="C77">
        <v>0</v>
      </c>
      <c r="D77">
        <f>C8</f>
        <v>1</v>
      </c>
      <c r="E77">
        <f>IF($C$8+($C$9-$C$8)*(EXP($C$15*$C$13*C77/$C$14)-1)/(EXP($C$15*$C$13*$C$10/$C$14)-1)&lt;0.00000001,0,$C$8+($C$9-$C$8)*(EXP($C$15*$C$13*C77/$C$14)-1)/(EXP($C$15*$C$13*$C$10/$C$14)-1))</f>
        <v>1</v>
      </c>
      <c r="F77" s="1">
        <f>IFERROR(ABS((E77-D77)/E77),0)</f>
        <v>0</v>
      </c>
      <c r="G77" s="1">
        <f>AVERAGE(F77:F83)</f>
        <v>3.1770868310886317E-2</v>
      </c>
    </row>
    <row r="78" spans="2:15" x14ac:dyDescent="0.3">
      <c r="B78">
        <v>1</v>
      </c>
      <c r="C78">
        <f>C77+C12/2</f>
        <v>0.1</v>
      </c>
      <c r="D78" cm="1">
        <f t="array" ref="D78:D82">MMULT(K70:O74,I70:I74)</f>
        <v>1</v>
      </c>
      <c r="E78">
        <f t="shared" ref="E78:E83" si="10">IF($C$8+($C$9-$C$8)*(EXP($C$15*$C$13*C78/$C$14)-1)/(EXP($C$15*$C$13*$C$10/$C$14)-1)&lt;0.00000001,0,$C$8+($C$9-$C$8)*(EXP($C$15*$C$13*C78/$C$14)-1)/(EXP($C$15*$C$13*$C$10/$C$14)-1))</f>
        <v>0.99999999984469812</v>
      </c>
      <c r="F78" s="1">
        <f t="shared" ref="F78:F83" si="11">IFERROR(ABS((E78-D78)/E78),0)</f>
        <v>1.5530188248927176E-10</v>
      </c>
    </row>
    <row r="79" spans="2:15" x14ac:dyDescent="0.3">
      <c r="B79">
        <v>2</v>
      </c>
      <c r="C79">
        <f>C78+$C$12</f>
        <v>0.30000000000000004</v>
      </c>
      <c r="D79">
        <v>1</v>
      </c>
      <c r="E79">
        <f t="shared" si="10"/>
        <v>0.99999997490389636</v>
      </c>
      <c r="F79" s="1">
        <f t="shared" si="11"/>
        <v>2.5096104269469078E-8</v>
      </c>
    </row>
    <row r="80" spans="2:15" x14ac:dyDescent="0.3">
      <c r="B80">
        <v>3</v>
      </c>
      <c r="C80">
        <f t="shared" ref="C80:C82" si="12">C79+$C$12</f>
        <v>0.5</v>
      </c>
      <c r="D80">
        <v>1</v>
      </c>
      <c r="E80">
        <f t="shared" si="10"/>
        <v>0.99999627336071584</v>
      </c>
      <c r="F80" s="1">
        <f t="shared" si="11"/>
        <v>3.7266531720549455E-6</v>
      </c>
    </row>
    <row r="81" spans="2:6" x14ac:dyDescent="0.3">
      <c r="B81">
        <v>4</v>
      </c>
      <c r="C81">
        <f t="shared" si="12"/>
        <v>0.7</v>
      </c>
      <c r="D81">
        <v>1</v>
      </c>
      <c r="E81">
        <f t="shared" si="10"/>
        <v>0.99944691564373245</v>
      </c>
      <c r="F81" s="1">
        <f t="shared" si="11"/>
        <v>5.5339042785610792E-4</v>
      </c>
    </row>
    <row r="82" spans="2:6" x14ac:dyDescent="0.3">
      <c r="B82">
        <v>5</v>
      </c>
      <c r="C82">
        <f t="shared" si="12"/>
        <v>0.89999999999999991</v>
      </c>
      <c r="D82">
        <v>0.7142857142857143</v>
      </c>
      <c r="E82">
        <f t="shared" si="10"/>
        <v>0.91791500138884918</v>
      </c>
      <c r="F82" s="1">
        <f t="shared" si="11"/>
        <v>0.2218389358437699</v>
      </c>
    </row>
    <row r="83" spans="2:6" x14ac:dyDescent="0.3">
      <c r="C83">
        <f>C82+C12/2</f>
        <v>0.99999999999999989</v>
      </c>
      <c r="D83">
        <f>C9</f>
        <v>0</v>
      </c>
      <c r="E83">
        <f t="shared" si="10"/>
        <v>0</v>
      </c>
      <c r="F83" s="1">
        <f t="shared" si="11"/>
        <v>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A625-D053-4583-A878-BCD7894288B5}">
  <dimension ref="B1:S25"/>
  <sheetViews>
    <sheetView tabSelected="1" topLeftCell="B1" workbookViewId="0">
      <selection activeCell="E10" sqref="E10"/>
    </sheetView>
  </sheetViews>
  <sheetFormatPr defaultRowHeight="14.4" x14ac:dyDescent="0.3"/>
  <sheetData>
    <row r="1" spans="2:19" x14ac:dyDescent="0.3">
      <c r="B1" t="s">
        <v>78</v>
      </c>
      <c r="P1" t="s">
        <v>82</v>
      </c>
    </row>
    <row r="2" spans="2:19" x14ac:dyDescent="0.3">
      <c r="B2" t="s">
        <v>77</v>
      </c>
      <c r="C2" t="s">
        <v>79</v>
      </c>
      <c r="D2" t="s">
        <v>80</v>
      </c>
      <c r="E2" t="s">
        <v>81</v>
      </c>
      <c r="P2" t="s">
        <v>77</v>
      </c>
      <c r="Q2" t="s">
        <v>79</v>
      </c>
      <c r="R2" t="s">
        <v>80</v>
      </c>
      <c r="S2" t="s">
        <v>81</v>
      </c>
    </row>
    <row r="3" spans="2:19" x14ac:dyDescent="0.3">
      <c r="B3">
        <f>'FVM_Conv-Dif_Hybrid_u0.1'!C77</f>
        <v>0</v>
      </c>
      <c r="C3">
        <f>'FVM_Conv-Dif_Hybrid_u0.1'!E77</f>
        <v>1</v>
      </c>
      <c r="P3">
        <f>'FVM_Conv-Dif_Hybrid_u2.5'!C77</f>
        <v>0</v>
      </c>
      <c r="Q3">
        <f>'FVM_Conv-Dif_Hybrid_u2.5'!E77</f>
        <v>1</v>
      </c>
    </row>
    <row r="4" spans="2:19" x14ac:dyDescent="0.3">
      <c r="B4">
        <f>'FVM_Conv-Dif_Hybrid_u0.1'!C78</f>
        <v>0.1</v>
      </c>
      <c r="C4">
        <f>'FVM_Conv-Dif_Hybrid_u0.1'!E78</f>
        <v>0.9387929754399108</v>
      </c>
      <c r="P4">
        <f>'FVM_Conv-Dif_Hybrid_u2.5'!C78</f>
        <v>0.1</v>
      </c>
      <c r="Q4">
        <f>'FVM_Conv-Dif_Hybrid_u2.5'!E78</f>
        <v>0.99999999984469812</v>
      </c>
    </row>
    <row r="5" spans="2:19" x14ac:dyDescent="0.3">
      <c r="B5">
        <f>'FVM_Conv-Dif_Hybrid_u0.1'!C79</f>
        <v>0.30000000000000004</v>
      </c>
      <c r="C5">
        <f>'FVM_Conv-Dif_Hybrid_u0.1'!E79</f>
        <v>0.79639032329768833</v>
      </c>
      <c r="P5">
        <f>'FVM_Conv-Dif_Hybrid_u2.5'!C79</f>
        <v>0.30000000000000004</v>
      </c>
      <c r="Q5">
        <f>'FVM_Conv-Dif_Hybrid_u2.5'!E79</f>
        <v>0.99999997490389636</v>
      </c>
    </row>
    <row r="6" spans="2:19" x14ac:dyDescent="0.3">
      <c r="B6">
        <f>'FVM_Conv-Dif_Hybrid_u0.1'!C80</f>
        <v>0.5</v>
      </c>
      <c r="C6">
        <f>'FVM_Conv-Dif_Hybrid_u0.1'!E80</f>
        <v>0.62245933120185448</v>
      </c>
      <c r="P6">
        <f>'FVM_Conv-Dif_Hybrid_u2.5'!C80</f>
        <v>0.5</v>
      </c>
      <c r="Q6">
        <f>'FVM_Conv-Dif_Hybrid_u2.5'!E80</f>
        <v>0.99999627336071584</v>
      </c>
    </row>
    <row r="7" spans="2:19" x14ac:dyDescent="0.3">
      <c r="B7">
        <f>'FVM_Conv-Dif_Hybrid_u0.1'!C81</f>
        <v>0.7</v>
      </c>
      <c r="C7">
        <f>'FVM_Conv-Dif_Hybrid_u0.1'!E81</f>
        <v>0.4100195377264686</v>
      </c>
      <c r="P7">
        <f>'FVM_Conv-Dif_Hybrid_u2.5'!C81</f>
        <v>0.7</v>
      </c>
      <c r="Q7">
        <f>'FVM_Conv-Dif_Hybrid_u2.5'!E81</f>
        <v>0.99944691564373245</v>
      </c>
    </row>
    <row r="8" spans="2:19" x14ac:dyDescent="0.3">
      <c r="B8">
        <f>'FVM_Conv-Dif_Hybrid_u0.1'!C82</f>
        <v>0.89999999999999991</v>
      </c>
      <c r="C8">
        <f>'FVM_Conv-Dif_Hybrid_u0.1'!E82</f>
        <v>0.15054498803265515</v>
      </c>
      <c r="P8">
        <f>'FVM_Conv-Dif_Hybrid_u2.5'!C82</f>
        <v>0.89999999999999991</v>
      </c>
      <c r="Q8">
        <f>'FVM_Conv-Dif_Hybrid_u2.5'!E82</f>
        <v>0.91791500138884918</v>
      </c>
    </row>
    <row r="9" spans="2:19" x14ac:dyDescent="0.3">
      <c r="B9">
        <f>'FVM_Conv-Dif_Hybrid_u0.1'!C83</f>
        <v>0.99999999999999989</v>
      </c>
      <c r="C9">
        <f>'FVM_Conv-Dif_Hybrid_u0.1'!E83</f>
        <v>0</v>
      </c>
      <c r="P9">
        <f>'FVM_Conv-Dif_Hybrid_u2.5'!C83</f>
        <v>0.99999999999999989</v>
      </c>
      <c r="Q9">
        <f>'FVM_Conv-Dif_Hybrid_u2.5'!E83</f>
        <v>0</v>
      </c>
    </row>
    <row r="11" spans="2:19" x14ac:dyDescent="0.3">
      <c r="B11">
        <f>'FVM_Conv-Dif_Central_u0.1'!C77</f>
        <v>0</v>
      </c>
      <c r="D11">
        <f>'FVM_Conv-Dif_Central_u0.1'!D77</f>
        <v>1</v>
      </c>
      <c r="P11">
        <f>'FVM_Conv-Dif_Central_u2.5'!C77</f>
        <v>0</v>
      </c>
      <c r="R11">
        <f>'FVM_Conv-Dif_Central_u2.5'!D77</f>
        <v>1</v>
      </c>
    </row>
    <row r="12" spans="2:19" x14ac:dyDescent="0.3">
      <c r="B12">
        <f>'FVM_Conv-Dif_Central_u0.1'!C78</f>
        <v>0.1</v>
      </c>
      <c r="D12">
        <f>'FVM_Conv-Dif_Central_u0.1'!D78</f>
        <v>0.9421099586282623</v>
      </c>
      <c r="P12">
        <f>'FVM_Conv-Dif_Central_u2.5'!C78</f>
        <v>0.1</v>
      </c>
      <c r="R12">
        <f>'FVM_Conv-Dif_Central_u2.5'!D78</f>
        <v>1.0356304985337244</v>
      </c>
    </row>
    <row r="13" spans="2:19" x14ac:dyDescent="0.3">
      <c r="B13">
        <f>'FVM_Conv-Dif_Central_u0.1'!C79</f>
        <v>0.30000000000000004</v>
      </c>
      <c r="D13">
        <f>'FVM_Conv-Dif_Central_u0.1'!D79</f>
        <v>0.80060096860845886</v>
      </c>
      <c r="P13">
        <f>'FVM_Conv-Dif_Central_u2.5'!C79</f>
        <v>0.30000000000000004</v>
      </c>
      <c r="R13">
        <f>'FVM_Conv-Dif_Central_u2.5'!D79</f>
        <v>0.86935483870967745</v>
      </c>
    </row>
    <row r="14" spans="2:19" x14ac:dyDescent="0.3">
      <c r="B14">
        <f>'FVM_Conv-Dif_Central_u0.1'!C80</f>
        <v>0.5</v>
      </c>
      <c r="D14">
        <f>'FVM_Conv-Dif_Central_u0.1'!D80</f>
        <v>0.62764553636203246</v>
      </c>
      <c r="P14">
        <f>'FVM_Conv-Dif_Central_u2.5'!C80</f>
        <v>0.5</v>
      </c>
      <c r="R14">
        <f>'FVM_Conv-Dif_Central_u2.5'!D80</f>
        <v>1.2573313782991202</v>
      </c>
    </row>
    <row r="15" spans="2:19" x14ac:dyDescent="0.3">
      <c r="B15">
        <f>'FVM_Conv-Dif_Central_u0.1'!C81</f>
        <v>0.7</v>
      </c>
      <c r="D15">
        <f>'FVM_Conv-Dif_Central_u0.1'!D81</f>
        <v>0.41625556361639998</v>
      </c>
      <c r="P15">
        <f>'FVM_Conv-Dif_Central_u2.5'!C81</f>
        <v>0.7</v>
      </c>
      <c r="R15">
        <f>'FVM_Conv-Dif_Central_u2.5'!D81</f>
        <v>0.35205278592375366</v>
      </c>
    </row>
    <row r="16" spans="2:19" x14ac:dyDescent="0.3">
      <c r="B16">
        <f>'FVM_Conv-Dif_Central_u0.1'!C82</f>
        <v>0.89999999999999991</v>
      </c>
      <c r="D16">
        <f>'FVM_Conv-Dif_Central_u0.1'!D82</f>
        <v>0.15789004137173793</v>
      </c>
      <c r="P16">
        <f>'FVM_Conv-Dif_Central_u2.5'!C82</f>
        <v>0.89999999999999991</v>
      </c>
      <c r="R16">
        <f>'FVM_Conv-Dif_Central_u2.5'!D82</f>
        <v>2.4643695014662756</v>
      </c>
    </row>
    <row r="17" spans="2:19" x14ac:dyDescent="0.3">
      <c r="B17">
        <f>'FVM_Conv-Dif_Central_u0.1'!C83</f>
        <v>0.99999999999999989</v>
      </c>
      <c r="D17">
        <f>'FVM_Conv-Dif_Central_u0.1'!D83</f>
        <v>0</v>
      </c>
      <c r="P17">
        <f>'FVM_Conv-Dif_Central_u2.5'!C83</f>
        <v>0.99999999999999989</v>
      </c>
      <c r="R17">
        <f>'FVM_Conv-Dif_Central_u2.5'!D83</f>
        <v>0</v>
      </c>
    </row>
    <row r="19" spans="2:19" x14ac:dyDescent="0.3">
      <c r="B19">
        <f>'FVM_Conv-Dif_Hybrid_u0.1'!C77</f>
        <v>0</v>
      </c>
      <c r="E19">
        <f>'FVM_Conv-Dif_Hybrid_u0.1'!D77</f>
        <v>1</v>
      </c>
      <c r="P19">
        <f>'FVM_Conv-Dif_Hybrid_u2.5'!C77</f>
        <v>0</v>
      </c>
      <c r="S19">
        <f>'FVM_Conv-Dif_Hybrid_u2.5'!D77</f>
        <v>1</v>
      </c>
    </row>
    <row r="20" spans="2:19" x14ac:dyDescent="0.3">
      <c r="B20">
        <f>'FVM_Conv-Dif_Hybrid_u0.1'!C78</f>
        <v>0.1</v>
      </c>
      <c r="E20">
        <f>'FVM_Conv-Dif_Hybrid_u0.1'!D78</f>
        <v>0.94118126944823721</v>
      </c>
      <c r="P20">
        <f>'FVM_Conv-Dif_Hybrid_u2.5'!C78</f>
        <v>0.1</v>
      </c>
      <c r="S20">
        <f>'FVM_Conv-Dif_Hybrid_u2.5'!D78</f>
        <v>1</v>
      </c>
    </row>
    <row r="21" spans="2:19" x14ac:dyDescent="0.3">
      <c r="B21">
        <f>'FVM_Conv-Dif_Hybrid_u0.1'!C79</f>
        <v>0.30000000000000004</v>
      </c>
      <c r="E21">
        <f>'FVM_Conv-Dif_Hybrid_u0.1'!D79</f>
        <v>0.79740215032170569</v>
      </c>
      <c r="P21">
        <f>'FVM_Conv-Dif_Hybrid_u2.5'!C79</f>
        <v>0.30000000000000004</v>
      </c>
      <c r="S21">
        <f>'FVM_Conv-Dif_Hybrid_u2.5'!D79</f>
        <v>1</v>
      </c>
    </row>
    <row r="22" spans="2:19" x14ac:dyDescent="0.3">
      <c r="B22">
        <f>'FVM_Conv-Dif_Hybrid_u0.1'!C80</f>
        <v>0.5</v>
      </c>
      <c r="E22">
        <f>'FVM_Conv-Dif_Hybrid_u0.1'!D80</f>
        <v>0.62167211583372295</v>
      </c>
      <c r="P22">
        <f>'FVM_Conv-Dif_Hybrid_u2.5'!C80</f>
        <v>0.5</v>
      </c>
      <c r="S22">
        <f>'FVM_Conv-Dif_Hybrid_u2.5'!D80</f>
        <v>1</v>
      </c>
    </row>
    <row r="23" spans="2:19" x14ac:dyDescent="0.3">
      <c r="B23">
        <f>'FVM_Conv-Dif_Hybrid_u0.1'!C81</f>
        <v>0.7</v>
      </c>
      <c r="E23">
        <f>'FVM_Conv-Dif_Hybrid_u0.1'!D81</f>
        <v>0.40689096257063256</v>
      </c>
      <c r="P23">
        <f>'FVM_Conv-Dif_Hybrid_u2.5'!C81</f>
        <v>0.7</v>
      </c>
      <c r="S23">
        <f>'FVM_Conv-Dif_Hybrid_u2.5'!D81</f>
        <v>1</v>
      </c>
    </row>
    <row r="24" spans="2:19" x14ac:dyDescent="0.3">
      <c r="B24">
        <f>'FVM_Conv-Dif_Hybrid_u0.1'!C82</f>
        <v>0.89999999999999991</v>
      </c>
      <c r="E24">
        <f>'FVM_Conv-Dif_Hybrid_u0.1'!D82</f>
        <v>0.14438066413796641</v>
      </c>
      <c r="P24">
        <f>'FVM_Conv-Dif_Hybrid_u2.5'!C82</f>
        <v>0.89999999999999991</v>
      </c>
      <c r="S24">
        <f>'FVM_Conv-Dif_Hybrid_u2.5'!D82</f>
        <v>0.7142857142857143</v>
      </c>
    </row>
    <row r="25" spans="2:19" x14ac:dyDescent="0.3">
      <c r="B25">
        <f>'FVM_Conv-Dif_Hybrid_u0.1'!C83</f>
        <v>0.99999999999999989</v>
      </c>
      <c r="E25">
        <f>'FVM_Conv-Dif_Hybrid_u0.1'!D83</f>
        <v>0</v>
      </c>
      <c r="P25">
        <f>'FVM_Conv-Dif_Hybrid_u2.5'!C83</f>
        <v>0.99999999999999989</v>
      </c>
      <c r="S25">
        <f>'FVM_Conv-Dif_Hybrid_u2.5'!D83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FVM_Diffusion-nosource</vt:lpstr>
      <vt:lpstr>FVM_Diffusion with source</vt:lpstr>
      <vt:lpstr>FVM_Conv-Dif_Central_u0.1</vt:lpstr>
      <vt:lpstr>FVM_Conv-Dif_Central_u2.5</vt:lpstr>
      <vt:lpstr>FVM_Conv-Dif_Hybrid_u0.1</vt:lpstr>
      <vt:lpstr>FVM_Conv-Dif_Hybrid_u2.5</vt:lpstr>
      <vt:lpstr>common 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2024-10-31T10:21:22Z</dcterms:created>
  <dcterms:modified xsi:type="dcterms:W3CDTF">2024-11-07T09:46:07Z</dcterms:modified>
</cp:coreProperties>
</file>